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12" yWindow="-12" windowWidth="5916" windowHeight="1560"/>
  </bookViews>
  <sheets>
    <sheet name="User Inputs &amp; Jobs Calculator" sheetId="4" r:id="rId1"/>
    <sheet name="Model Parameters" sheetId="1" state="hidden" r:id="rId2"/>
    <sheet name="Data for States" sheetId="2" state="hidden" r:id="rId3"/>
    <sheet name="Job Impacts Data" sheetId="3" state="hidden" r:id="rId4"/>
  </sheets>
  <calcPr calcId="125725"/>
</workbook>
</file>

<file path=xl/calcChain.xml><?xml version="1.0" encoding="utf-8"?>
<calcChain xmlns="http://schemas.openxmlformats.org/spreadsheetml/2006/main">
  <c r="G14" i="4"/>
  <c r="G13"/>
  <c r="G12"/>
  <c r="C9" i="3" l="1"/>
  <c r="B4" i="1" l="1"/>
  <c r="B62" l="1"/>
  <c r="B64" l="1"/>
  <c r="B63"/>
  <c r="I40" i="4" l="1"/>
  <c r="I41" s="1"/>
  <c r="F40"/>
  <c r="F41" s="1"/>
  <c r="C40"/>
  <c r="C41" s="1"/>
  <c r="I36"/>
  <c r="I37" s="1"/>
  <c r="F36"/>
  <c r="F37" s="1"/>
  <c r="C36"/>
  <c r="C37" s="1"/>
  <c r="I32"/>
  <c r="F32"/>
  <c r="C32"/>
  <c r="E31" i="3"/>
  <c r="C19" i="4" l="1"/>
  <c r="C20" s="1"/>
  <c r="C24" i="3" l="1"/>
  <c r="D24"/>
  <c r="H58" i="2" l="1"/>
  <c r="G58"/>
  <c r="F58"/>
  <c r="J58" s="1"/>
  <c r="D29" i="3" l="1"/>
  <c r="C29"/>
  <c r="I33" i="4"/>
  <c r="D9" i="3" l="1"/>
  <c r="E58" i="2" l="1"/>
  <c r="D58"/>
  <c r="C58"/>
  <c r="B26" i="4" l="1"/>
  <c r="F33" l="1"/>
  <c r="C33"/>
  <c r="B10" i="1" l="1"/>
  <c r="B18" l="1"/>
  <c r="B17"/>
  <c r="B16"/>
  <c r="B9"/>
  <c r="B6"/>
  <c r="B47" i="4" l="1"/>
  <c r="B45"/>
  <c r="B57"/>
  <c r="B19" i="1"/>
  <c r="B27"/>
  <c r="B58" i="4"/>
  <c r="B28" i="1"/>
  <c r="B59" i="4"/>
  <c r="B26" i="1"/>
  <c r="B11"/>
  <c r="B31" s="1"/>
  <c r="D43"/>
  <c r="B53" s="1"/>
  <c r="D42"/>
  <c r="B52" s="1"/>
  <c r="D41"/>
  <c r="B51" s="1"/>
  <c r="C51" l="1"/>
  <c r="D46" s="1"/>
  <c r="C53"/>
  <c r="D48" s="1"/>
  <c r="C52"/>
  <c r="D47" s="1"/>
  <c r="B36"/>
  <c r="C57" i="4" s="1"/>
  <c r="B33" i="1"/>
  <c r="B38" s="1"/>
  <c r="C59" i="4" s="1"/>
  <c r="C42" i="1"/>
  <c r="C47" s="1"/>
  <c r="B13"/>
  <c r="C41"/>
  <c r="C46" s="1"/>
  <c r="B32"/>
  <c r="C47" i="4" s="1"/>
  <c r="C43" i="1"/>
  <c r="C48" s="1"/>
  <c r="B49" i="4"/>
  <c r="B47" i="1" l="1"/>
  <c r="B48"/>
  <c r="D59" i="4" s="1"/>
  <c r="C45"/>
  <c r="B37" i="1"/>
  <c r="C58" i="4" s="1"/>
  <c r="B43" i="1"/>
  <c r="B41"/>
  <c r="B42"/>
  <c r="D58" i="4" l="1"/>
  <c r="C49"/>
  <c r="B51" s="1"/>
  <c r="B46" i="1"/>
  <c r="D57" i="4" s="1"/>
  <c r="D45" l="1"/>
  <c r="D47"/>
  <c r="D49" l="1"/>
  <c r="B52" s="1"/>
</calcChain>
</file>

<file path=xl/sharedStrings.xml><?xml version="1.0" encoding="utf-8"?>
<sst xmlns="http://schemas.openxmlformats.org/spreadsheetml/2006/main" count="285" uniqueCount="226">
  <si>
    <t>Alabama</t>
  </si>
  <si>
    <t>Alaska</t>
  </si>
  <si>
    <t>Arizona</t>
  </si>
  <si>
    <t>Arkansas</t>
  </si>
  <si>
    <t>California</t>
  </si>
  <si>
    <t>Colorado</t>
  </si>
  <si>
    <t>Delaware</t>
  </si>
  <si>
    <t>District of Columbia</t>
  </si>
  <si>
    <t xml:space="preserve">Florida </t>
  </si>
  <si>
    <t>Georgia</t>
  </si>
  <si>
    <t>Hawaii</t>
  </si>
  <si>
    <t>Idaho</t>
  </si>
  <si>
    <t>Illinois</t>
  </si>
  <si>
    <t>Indiana</t>
  </si>
  <si>
    <t>Iowa</t>
  </si>
  <si>
    <t>Kansas</t>
  </si>
  <si>
    <t>Kentucky</t>
  </si>
  <si>
    <t>Louisiana</t>
  </si>
  <si>
    <t>Connecticut</t>
  </si>
  <si>
    <t>ME</t>
  </si>
  <si>
    <t>Maryland</t>
  </si>
  <si>
    <t>MD</t>
  </si>
  <si>
    <t>Massachusetts</t>
  </si>
  <si>
    <t>MA</t>
  </si>
  <si>
    <t>Michigan</t>
  </si>
  <si>
    <t>MI</t>
  </si>
  <si>
    <t>Minnesota</t>
  </si>
  <si>
    <t>MN</t>
  </si>
  <si>
    <t>Mississippi</t>
  </si>
  <si>
    <t>MS</t>
  </si>
  <si>
    <t>Missouri</t>
  </si>
  <si>
    <t>MO</t>
  </si>
  <si>
    <t>Montana</t>
  </si>
  <si>
    <t>MT</t>
  </si>
  <si>
    <t>Nebraska</t>
  </si>
  <si>
    <t>NE</t>
  </si>
  <si>
    <t>Nevada</t>
  </si>
  <si>
    <t>NV</t>
  </si>
  <si>
    <t>New Hampshire</t>
  </si>
  <si>
    <t>NH</t>
  </si>
  <si>
    <t>New Jersey</t>
  </si>
  <si>
    <t>NJ</t>
  </si>
  <si>
    <t>New Mexico</t>
  </si>
  <si>
    <t>NM</t>
  </si>
  <si>
    <t>New York</t>
  </si>
  <si>
    <t>NY</t>
  </si>
  <si>
    <t>North Carolina</t>
  </si>
  <si>
    <t>NC</t>
  </si>
  <si>
    <t>North Dakota</t>
  </si>
  <si>
    <t>ND</t>
  </si>
  <si>
    <t>Ohio</t>
  </si>
  <si>
    <t>OH</t>
  </si>
  <si>
    <t>Oklahoma</t>
  </si>
  <si>
    <t>OK</t>
  </si>
  <si>
    <t>Oregon</t>
  </si>
  <si>
    <t>OR</t>
  </si>
  <si>
    <t>Pennsylvania</t>
  </si>
  <si>
    <t>PA</t>
  </si>
  <si>
    <t>Rhode Island</t>
  </si>
  <si>
    <t>RI</t>
  </si>
  <si>
    <t>South Carolina</t>
  </si>
  <si>
    <t>SC</t>
  </si>
  <si>
    <t>South Dakota</t>
  </si>
  <si>
    <t>SD</t>
  </si>
  <si>
    <t>Tennessee</t>
  </si>
  <si>
    <t>TN</t>
  </si>
  <si>
    <t>Texas</t>
  </si>
  <si>
    <t>TX</t>
  </si>
  <si>
    <t>Utah</t>
  </si>
  <si>
    <t>UT</t>
  </si>
  <si>
    <t>Vermont</t>
  </si>
  <si>
    <t>VT</t>
  </si>
  <si>
    <t>Virginia</t>
  </si>
  <si>
    <t>VA</t>
  </si>
  <si>
    <t>Washington</t>
  </si>
  <si>
    <t>WA</t>
  </si>
  <si>
    <t>West Virginia</t>
  </si>
  <si>
    <t>WV</t>
  </si>
  <si>
    <t>Wisconsin</t>
  </si>
  <si>
    <t>WI</t>
  </si>
  <si>
    <t>Wyoming</t>
  </si>
  <si>
    <t>WY</t>
  </si>
  <si>
    <t>Maine</t>
  </si>
  <si>
    <t>AL</t>
  </si>
  <si>
    <t>AK</t>
  </si>
  <si>
    <t>AZ</t>
  </si>
  <si>
    <t>AR</t>
  </si>
  <si>
    <t>CA</t>
  </si>
  <si>
    <t>CO</t>
  </si>
  <si>
    <t>CT</t>
  </si>
  <si>
    <t>DE</t>
  </si>
  <si>
    <t>DC</t>
  </si>
  <si>
    <t>FL</t>
  </si>
  <si>
    <t>GA</t>
  </si>
  <si>
    <t>HI</t>
  </si>
  <si>
    <t>ID</t>
  </si>
  <si>
    <t>IL</t>
  </si>
  <si>
    <t>IN</t>
  </si>
  <si>
    <t>IA</t>
  </si>
  <si>
    <t>KS</t>
  </si>
  <si>
    <t>KY</t>
  </si>
  <si>
    <t>LA</t>
  </si>
  <si>
    <t>State Name</t>
  </si>
  <si>
    <t>Abbreviation</t>
  </si>
  <si>
    <t>Occupied Housing Units</t>
  </si>
  <si>
    <t>Glass</t>
  </si>
  <si>
    <t>Aluminum</t>
  </si>
  <si>
    <t>PET</t>
  </si>
  <si>
    <t>Containers Generated by Beverage Sales(tons)</t>
  </si>
  <si>
    <t>Curbside Eligible Households</t>
  </si>
  <si>
    <t>Proportion with Curbside</t>
  </si>
  <si>
    <t>Curbside Households</t>
  </si>
  <si>
    <t>Households Served by Curbside</t>
  </si>
  <si>
    <t>Containers Generated from Beverage Sales (tons)</t>
  </si>
  <si>
    <t>Curbside</t>
  </si>
  <si>
    <t>Recycling</t>
  </si>
  <si>
    <t>Average Jobs per 1000 Tons Throughput</t>
  </si>
  <si>
    <t>Disposal</t>
  </si>
  <si>
    <t>Secondary Processing</t>
  </si>
  <si>
    <t xml:space="preserve">    Glass Containers</t>
  </si>
  <si>
    <t xml:space="preserve">    Fiberglass</t>
  </si>
  <si>
    <t xml:space="preserve">    Aggregate</t>
  </si>
  <si>
    <t xml:space="preserve">    Aluminum Can Sheet</t>
  </si>
  <si>
    <t xml:space="preserve">    PET Pellets</t>
  </si>
  <si>
    <t>Percent of Households with Curbside Recycling</t>
  </si>
  <si>
    <t>Enter 5, 10 or 15</t>
  </si>
  <si>
    <t>Enter two capital letter postal abbreviation for your state</t>
  </si>
  <si>
    <t>Deposit Refund Amount per Container (cents)</t>
  </si>
  <si>
    <t>State (two capital letter postal abbreviation)</t>
  </si>
  <si>
    <t>Model Parameters</t>
  </si>
  <si>
    <t>State Data</t>
  </si>
  <si>
    <t>Job Impacts Parameters</t>
  </si>
  <si>
    <t>Jobs Calculator - User Inputs &amp; Jobs Results</t>
  </si>
  <si>
    <t xml:space="preserve">      Job Increases vs. 100% Disposal</t>
  </si>
  <si>
    <t xml:space="preserve">     Job Decreases vs. 100% Disposal</t>
  </si>
  <si>
    <t>CDR</t>
  </si>
  <si>
    <t xml:space="preserve">            Net Jobs Impact vs. 100% Disposal</t>
  </si>
  <si>
    <t>Virgin</t>
  </si>
  <si>
    <t>Census Bureau</t>
  </si>
  <si>
    <t>Estimate of</t>
  </si>
  <si>
    <t>2009 Occupied Housing Units</t>
  </si>
  <si>
    <t xml:space="preserve">  United States</t>
  </si>
  <si>
    <t>US</t>
  </si>
  <si>
    <t xml:space="preserve">                does not include apartment housing with 5 or more units in the building, mobile homes or other.</t>
  </si>
  <si>
    <t xml:space="preserve">                Census Bureau as detached single family, attached single family or apartment housing with 2-4 units in the building;</t>
  </si>
  <si>
    <t>Population (1)</t>
  </si>
  <si>
    <t>Total (2)</t>
  </si>
  <si>
    <t>Curbside Eligible (3)</t>
  </si>
  <si>
    <t>(1) Annual Estimates of the Resident Population for the United States, Regions, States, and Puerto Rico: April 1, 2000 to July 1, 2009</t>
  </si>
  <si>
    <t xml:space="preserve">                (NST-EST2009-01), US Census Bureau, Population Division, September 2010.</t>
  </si>
  <si>
    <t>(2) Annual Estimates of Housing Units for the United States and States: April 1, 2000 to July 1, 2009 (HU-EST2009-01), US Census Bureau,</t>
  </si>
  <si>
    <t xml:space="preserve">                Population Division, September 2010.</t>
  </si>
  <si>
    <t>Census Bureau Estimate of</t>
  </si>
  <si>
    <t>based on BEAR report</t>
  </si>
  <si>
    <t>Percent of Containers Generated Away from Home</t>
  </si>
  <si>
    <t>automated curbside recycling</t>
  </si>
  <si>
    <t>manual curbside recycling</t>
  </si>
  <si>
    <t>jobs/1000 tons</t>
  </si>
  <si>
    <t>MRF/Landfill Operations</t>
  </si>
  <si>
    <t>collection</t>
  </si>
  <si>
    <t>curbside</t>
  </si>
  <si>
    <t>Shipping to Secondary Processors/End Users</t>
  </si>
  <si>
    <t>Other Collections</t>
  </si>
  <si>
    <t>(3) Curbside eligible households based on 2000 Housing Census proportion of housing units in each state designated by the</t>
  </si>
  <si>
    <t>Pet</t>
  </si>
  <si>
    <t>End-Use Manufacturing (incl. upstream supply chain)</t>
  </si>
  <si>
    <t xml:space="preserve">    Automated curbside recycling</t>
  </si>
  <si>
    <t xml:space="preserve">    Manual curbside recycling</t>
  </si>
  <si>
    <t>Percent</t>
  </si>
  <si>
    <t>Allocation of Glass to End Markets &amp; Processing Residue Disposal</t>
  </si>
  <si>
    <t>Transfer to Landfill</t>
  </si>
  <si>
    <t xml:space="preserve">  Note: aggregate production from glass cullet assumed to be half as labor intensive as virgin aggregate production. </t>
  </si>
  <si>
    <t>Households Not Served by Curbside</t>
  </si>
  <si>
    <t>Total</t>
  </si>
  <si>
    <t>SF</t>
  </si>
  <si>
    <t>MF</t>
  </si>
  <si>
    <t>Total Tons</t>
  </si>
  <si>
    <t>SF = single family</t>
  </si>
  <si>
    <t>MF = multi-family</t>
  </si>
  <si>
    <t>Curbside Containers Captured Tons</t>
  </si>
  <si>
    <t>Away from Home Containers Captured Tons</t>
  </si>
  <si>
    <t>Containers Generated in Households Served by Curbside</t>
  </si>
  <si>
    <t>Containers Generated in Non-Curbside Households</t>
  </si>
  <si>
    <t xml:space="preserve">    Processing Residue to Landfill/Landfill Daily Cover</t>
  </si>
  <si>
    <t>Allocation of Aluminum to End Markets &amp; Processing Residue Disposal</t>
  </si>
  <si>
    <t xml:space="preserve">    Can Sheet</t>
  </si>
  <si>
    <t>Allocation of PET to End Markets &amp; Processing Residue Disposal</t>
  </si>
  <si>
    <t xml:space="preserve">            Net Jobs for Deposit-Refund vs. Enhanced Curbside   =</t>
  </si>
  <si>
    <t xml:space="preserve">            Net Jobs for Deposit-Refund vs. Curbside                        =</t>
  </si>
  <si>
    <t>Curbside/Other</t>
  </si>
  <si>
    <t>Curbside Recycling - Automated vs. Manual Collection Mix</t>
  </si>
  <si>
    <t>Container Deposit-Refund (CDR) System Return Rates</t>
  </si>
  <si>
    <t>CDR Deposit Amount</t>
  </si>
  <si>
    <t>5 cents</t>
  </si>
  <si>
    <t>10 cents</t>
  </si>
  <si>
    <t>15 cents</t>
  </si>
  <si>
    <t>Container Deposit-Refund (CDR) System Return Rate for User Selected Deposit Amount</t>
  </si>
  <si>
    <t>Enhanced</t>
  </si>
  <si>
    <t>Summary of Potential Recycled Tons</t>
  </si>
  <si>
    <t>Estimated Potential Jobs Impacts</t>
  </si>
  <si>
    <t>Export Rates for Recycled PET Containers</t>
  </si>
  <si>
    <t xml:space="preserve">    CDR System</t>
  </si>
  <si>
    <t xml:space="preserve">    Curbside Recycling System</t>
  </si>
  <si>
    <t xml:space="preserve">  have access to curbside recycling service, regardless of whether and how they use that service</t>
  </si>
  <si>
    <t>Enter the percentage of total curbside eligible households in the state that actually</t>
  </si>
  <si>
    <t xml:space="preserve">    Glass</t>
  </si>
  <si>
    <t>Capture Rates for Non-CDR Recycling Systems</t>
  </si>
  <si>
    <t xml:space="preserve">    Aluminum</t>
  </si>
  <si>
    <t xml:space="preserve">    PET</t>
  </si>
  <si>
    <t>Away from Home</t>
  </si>
  <si>
    <t>Collection (incl. admin./maintenance &amp; management)</t>
  </si>
  <si>
    <t>Multi-Family On-Site Collection</t>
  </si>
  <si>
    <t>Single-Family Curbside</t>
  </si>
  <si>
    <t xml:space="preserve">   (Note: curbside eligible households are mostly single family but sometimes include small apartment building households as well.)</t>
  </si>
  <si>
    <t>Note: reflects jobs impacts to domestic supply chain only.  Estimated portion of virgin PET that is imported is =</t>
  </si>
  <si>
    <t>Non-Curbside Household Container Captured Tons</t>
  </si>
  <si>
    <t>Multi-Family Self-Haul</t>
  </si>
  <si>
    <t>SF S-H Tons</t>
  </si>
  <si>
    <t>MF O-S Tons</t>
  </si>
  <si>
    <t>O-S = on-site recycling at apartment buildings</t>
  </si>
  <si>
    <t>S-H = self-haul recycling</t>
  </si>
  <si>
    <t>MF S-H Tons</t>
  </si>
  <si>
    <t>Detail on Multi-Family Household Container Captured Tons</t>
  </si>
  <si>
    <t>MF O-S &amp; S-H Tons</t>
  </si>
  <si>
    <t>Non-Curbside Single-Family Self-Haul</t>
  </si>
  <si>
    <t xml:space="preserve"> Enter estimated capture rates for your state for each of these five non-CDR recycling systems, or use the defaults shown above.</t>
  </si>
</sst>
</file>

<file path=xl/styles.xml><?xml version="1.0" encoding="utf-8"?>
<styleSheet xmlns="http://schemas.openxmlformats.org/spreadsheetml/2006/main">
  <numFmts count="3">
    <numFmt numFmtId="43" formatCode="_(* #,##0.00_);_(* \(#,##0.00\);_(* &quot;-&quot;??_);_(@_)"/>
    <numFmt numFmtId="164" formatCode="0.0%"/>
    <numFmt numFmtId="165" formatCode="_(* #,##0_);_(* \(#,##0\);_(* &quot;-&quot;??_);_(@_)"/>
  </numFmts>
  <fonts count="12">
    <font>
      <sz val="11"/>
      <color theme="1"/>
      <name val="Calibri"/>
      <family val="2"/>
      <scheme val="minor"/>
    </font>
    <font>
      <u/>
      <sz val="11"/>
      <color theme="10"/>
      <name val="Calibri"/>
      <family val="2"/>
      <scheme val="minor"/>
    </font>
    <font>
      <u/>
      <sz val="11"/>
      <color theme="1"/>
      <name val="Calibri"/>
      <family val="2"/>
      <scheme val="minor"/>
    </font>
    <font>
      <sz val="11"/>
      <name val="Calibri"/>
      <family val="2"/>
      <scheme val="minor"/>
    </font>
    <font>
      <b/>
      <i/>
      <u/>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sz val="10"/>
      <name val="Arial"/>
      <family val="2"/>
    </font>
    <font>
      <b/>
      <sz val="10"/>
      <name val="Arial"/>
      <family val="2"/>
    </font>
    <font>
      <sz val="11"/>
      <color rgb="FF000000"/>
      <name val="Calibri"/>
      <family val="2"/>
      <scheme val="minor"/>
    </font>
    <font>
      <sz val="11"/>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9" tint="0.59996337778862885"/>
        <bgColor indexed="64"/>
      </patternFill>
    </fill>
  </fills>
  <borders count="15">
    <border>
      <left/>
      <right/>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style="medium">
        <color auto="1"/>
      </top>
      <bottom style="medium">
        <color auto="1"/>
      </bottom>
      <diagonal/>
    </border>
    <border>
      <left style="thick">
        <color auto="1"/>
      </left>
      <right/>
      <top style="medium">
        <color auto="1"/>
      </top>
      <bottom style="thick">
        <color auto="1"/>
      </bottom>
      <diagonal/>
    </border>
    <border>
      <left/>
      <right style="medium">
        <color auto="1"/>
      </right>
      <top style="medium">
        <color auto="1"/>
      </top>
      <bottom style="thick">
        <color auto="1"/>
      </bottom>
      <diagonal/>
    </border>
    <border>
      <left/>
      <right/>
      <top/>
      <bottom style="thick">
        <color auto="1"/>
      </bottom>
      <diagonal/>
    </border>
    <border>
      <left style="thick">
        <color auto="1"/>
      </left>
      <right/>
      <top/>
      <bottom style="thick">
        <color auto="1"/>
      </bottom>
      <diagonal/>
    </border>
  </borders>
  <cellStyleXfs count="3">
    <xf numFmtId="0" fontId="0" fillId="0" borderId="0"/>
    <xf numFmtId="0" fontId="1" fillId="0" borderId="0" applyNumberFormat="0" applyFill="0" applyBorder="0" applyAlignment="0" applyProtection="0"/>
    <xf numFmtId="43" fontId="11" fillId="0" borderId="0" applyFont="0" applyFill="0" applyBorder="0" applyAlignment="0" applyProtection="0"/>
  </cellStyleXfs>
  <cellXfs count="85">
    <xf numFmtId="0" fontId="0" fillId="0" borderId="0" xfId="0"/>
    <xf numFmtId="0" fontId="0" fillId="2" borderId="0" xfId="0" applyFont="1" applyFill="1" applyAlignment="1">
      <alignment vertical="center" wrapText="1"/>
    </xf>
    <xf numFmtId="0" fontId="0" fillId="2" borderId="0" xfId="0" applyFont="1" applyFill="1"/>
    <xf numFmtId="0" fontId="3" fillId="2" borderId="0" xfId="1" applyFont="1" applyFill="1" applyAlignment="1">
      <alignment vertical="center" wrapText="1"/>
    </xf>
    <xf numFmtId="0" fontId="3" fillId="2" borderId="0" xfId="0" applyFont="1" applyFill="1" applyAlignment="1">
      <alignment vertical="center" wrapText="1"/>
    </xf>
    <xf numFmtId="0" fontId="0" fillId="0" borderId="0" xfId="0" applyAlignment="1">
      <alignment horizontal="center"/>
    </xf>
    <xf numFmtId="0" fontId="2" fillId="0" borderId="0" xfId="0" applyFont="1" applyAlignment="1">
      <alignment horizontal="center"/>
    </xf>
    <xf numFmtId="0" fontId="3" fillId="2" borderId="0" xfId="1" applyFont="1" applyFill="1" applyAlignment="1">
      <alignment vertical="center"/>
    </xf>
    <xf numFmtId="0" fontId="4" fillId="0" borderId="0" xfId="0" applyFont="1"/>
    <xf numFmtId="37" fontId="0" fillId="0" borderId="0" xfId="0" applyNumberFormat="1"/>
    <xf numFmtId="0" fontId="5" fillId="0" borderId="1" xfId="0" applyFont="1" applyBorder="1" applyAlignment="1">
      <alignment horizontal="center"/>
    </xf>
    <xf numFmtId="0" fontId="5" fillId="0" borderId="1" xfId="0" applyFont="1" applyFill="1" applyBorder="1" applyAlignment="1">
      <alignment horizontal="center"/>
    </xf>
    <xf numFmtId="0" fontId="5" fillId="0" borderId="5" xfId="0" applyFont="1" applyBorder="1"/>
    <xf numFmtId="0" fontId="5" fillId="0" borderId="5" xfId="0" applyFont="1" applyBorder="1" applyAlignment="1">
      <alignment horizontal="center"/>
    </xf>
    <xf numFmtId="0" fontId="0" fillId="0" borderId="0" xfId="0" applyFill="1" applyAlignment="1">
      <alignment horizontal="center"/>
    </xf>
    <xf numFmtId="164" fontId="0" fillId="0" borderId="0" xfId="0" applyNumberFormat="1" applyFill="1" applyAlignment="1">
      <alignment horizontal="center"/>
    </xf>
    <xf numFmtId="0" fontId="2"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9" fontId="0" fillId="0" borderId="0" xfId="0" quotePrefix="1" applyNumberFormat="1" applyAlignment="1">
      <alignment horizontal="center"/>
    </xf>
    <xf numFmtId="0" fontId="7" fillId="0" borderId="0" xfId="0" applyFont="1"/>
    <xf numFmtId="164" fontId="0" fillId="0" borderId="0" xfId="0" applyNumberFormat="1"/>
    <xf numFmtId="0" fontId="5" fillId="0" borderId="6" xfId="0" applyFont="1" applyBorder="1" applyAlignment="1">
      <alignment horizontal="center"/>
    </xf>
    <xf numFmtId="0" fontId="9" fillId="0" borderId="0" xfId="0" applyFont="1" applyAlignment="1">
      <alignment horizontal="center"/>
    </xf>
    <xf numFmtId="164" fontId="5" fillId="0" borderId="0" xfId="0" applyNumberFormat="1" applyFont="1"/>
    <xf numFmtId="0" fontId="0" fillId="0" borderId="0" xfId="0" applyFont="1"/>
    <xf numFmtId="0" fontId="10" fillId="0" borderId="0" xfId="0" applyFont="1"/>
    <xf numFmtId="0" fontId="2" fillId="0" borderId="0" xfId="0" applyFont="1" applyAlignment="1">
      <alignment horizontal="center"/>
    </xf>
    <xf numFmtId="0" fontId="0" fillId="0" borderId="0" xfId="0" applyAlignment="1">
      <alignment horizontal="center"/>
    </xf>
    <xf numFmtId="4" fontId="0" fillId="0" borderId="0" xfId="0" applyNumberFormat="1"/>
    <xf numFmtId="4" fontId="6" fillId="0" borderId="0" xfId="0" applyNumberFormat="1" applyFont="1" applyAlignment="1">
      <alignment horizontal="center"/>
    </xf>
    <xf numFmtId="37" fontId="5" fillId="0" borderId="4" xfId="0" applyNumberFormat="1" applyFont="1" applyBorder="1" applyAlignment="1">
      <alignment horizontal="center"/>
    </xf>
    <xf numFmtId="165" fontId="0" fillId="0" borderId="0" xfId="2" applyNumberFormat="1" applyFont="1"/>
    <xf numFmtId="0" fontId="2" fillId="0" borderId="0" xfId="0" applyFont="1" applyAlignment="1">
      <alignment horizontal="center"/>
    </xf>
    <xf numFmtId="0" fontId="0" fillId="0" borderId="0" xfId="0" applyAlignment="1">
      <alignment horizontal="center"/>
    </xf>
    <xf numFmtId="164" fontId="0" fillId="3" borderId="0" xfId="0" applyNumberFormat="1" applyFill="1" applyAlignment="1">
      <alignment horizontal="center"/>
    </xf>
    <xf numFmtId="164" fontId="5" fillId="0" borderId="0" xfId="0" applyNumberFormat="1" applyFont="1" applyAlignment="1">
      <alignment horizontal="center"/>
    </xf>
    <xf numFmtId="0" fontId="6" fillId="0" borderId="0" xfId="0" applyFont="1"/>
    <xf numFmtId="164" fontId="6" fillId="0" borderId="0" xfId="0" applyNumberFormat="1" applyFont="1" applyAlignment="1">
      <alignment horizontal="center"/>
    </xf>
    <xf numFmtId="37" fontId="0" fillId="0" borderId="0" xfId="0" quotePrefix="1" applyNumberFormat="1"/>
    <xf numFmtId="164" fontId="9" fillId="0" borderId="0" xfId="0" applyNumberFormat="1" applyFont="1" applyAlignment="1">
      <alignment horizontal="center"/>
    </xf>
    <xf numFmtId="0" fontId="0" fillId="0" borderId="7" xfId="0" applyBorder="1"/>
    <xf numFmtId="0" fontId="0" fillId="0" borderId="8" xfId="0" applyBorder="1"/>
    <xf numFmtId="0" fontId="9" fillId="0" borderId="8" xfId="0" applyFont="1" applyBorder="1" applyAlignment="1">
      <alignment horizontal="center"/>
    </xf>
    <xf numFmtId="0" fontId="4" fillId="0" borderId="9" xfId="0" applyFont="1" applyBorder="1"/>
    <xf numFmtId="0" fontId="6" fillId="0" borderId="0" xfId="0" applyFont="1" applyBorder="1" applyAlignment="1">
      <alignment horizontal="center"/>
    </xf>
    <xf numFmtId="0" fontId="0" fillId="0" borderId="0" xfId="0" applyBorder="1"/>
    <xf numFmtId="0" fontId="0" fillId="0" borderId="9" xfId="0" applyBorder="1"/>
    <xf numFmtId="37" fontId="0" fillId="0" borderId="0" xfId="0" quotePrefix="1" applyNumberFormat="1" applyBorder="1" applyAlignment="1">
      <alignment horizontal="center"/>
    </xf>
    <xf numFmtId="37" fontId="0" fillId="0" borderId="0" xfId="0" applyNumberFormat="1" applyBorder="1"/>
    <xf numFmtId="37" fontId="2" fillId="0" borderId="0" xfId="0" quotePrefix="1" applyNumberFormat="1" applyFont="1" applyBorder="1" applyAlignment="1">
      <alignment horizontal="center"/>
    </xf>
    <xf numFmtId="37" fontId="2" fillId="0" borderId="0" xfId="0" applyNumberFormat="1" applyFont="1" applyBorder="1" applyAlignment="1">
      <alignment horizontal="center"/>
    </xf>
    <xf numFmtId="0" fontId="5" fillId="0" borderId="10" xfId="0" applyFont="1" applyBorder="1"/>
    <xf numFmtId="0" fontId="5" fillId="0" borderId="11" xfId="0" applyFont="1" applyBorder="1"/>
    <xf numFmtId="37" fontId="5" fillId="0" borderId="12" xfId="0" applyNumberFormat="1" applyFont="1" applyBorder="1" applyAlignment="1">
      <alignment horizontal="center"/>
    </xf>
    <xf numFmtId="0" fontId="0" fillId="0" borderId="13" xfId="0" applyBorder="1"/>
    <xf numFmtId="164" fontId="0" fillId="0" borderId="0" xfId="0" applyNumberFormat="1" applyFill="1"/>
    <xf numFmtId="0" fontId="0" fillId="0" borderId="0" xfId="0" applyAlignment="1">
      <alignment horizontal="center"/>
    </xf>
    <xf numFmtId="37" fontId="6" fillId="0" borderId="0" xfId="0" applyNumberFormat="1" applyFont="1" applyAlignment="1">
      <alignment horizontal="center"/>
    </xf>
    <xf numFmtId="164" fontId="0" fillId="0" borderId="0" xfId="0" applyNumberFormat="1" applyAlignment="1">
      <alignment horizontal="center"/>
    </xf>
    <xf numFmtId="0" fontId="4" fillId="0" borderId="7" xfId="0" applyFont="1" applyBorder="1"/>
    <xf numFmtId="0" fontId="0" fillId="0" borderId="14" xfId="0" applyBorder="1"/>
    <xf numFmtId="37" fontId="0" fillId="0" borderId="13" xfId="0" applyNumberFormat="1" applyBorder="1"/>
    <xf numFmtId="0" fontId="5" fillId="0" borderId="8" xfId="0" applyFont="1" applyBorder="1" applyAlignment="1">
      <alignment horizontal="center"/>
    </xf>
    <xf numFmtId="0" fontId="9" fillId="0" borderId="0" xfId="0" applyFont="1" applyBorder="1" applyAlignment="1">
      <alignment horizontal="center"/>
    </xf>
    <xf numFmtId="0" fontId="5" fillId="0" borderId="0" xfId="0" applyFont="1" applyBorder="1" applyAlignment="1">
      <alignment horizontal="center"/>
    </xf>
    <xf numFmtId="0" fontId="6" fillId="0" borderId="9" xfId="0" applyFont="1" applyBorder="1" applyAlignment="1">
      <alignment horizontal="center"/>
    </xf>
    <xf numFmtId="37" fontId="2" fillId="0" borderId="0" xfId="0" applyNumberFormat="1" applyFont="1"/>
    <xf numFmtId="164" fontId="5" fillId="3" borderId="0" xfId="0" applyNumberFormat="1" applyFont="1" applyFill="1" applyAlignment="1">
      <alignment horizontal="center"/>
    </xf>
    <xf numFmtId="0" fontId="5" fillId="3" borderId="0" xfId="0" applyFont="1" applyFill="1" applyAlignment="1">
      <alignment horizontal="center"/>
    </xf>
    <xf numFmtId="164" fontId="8" fillId="3" borderId="0" xfId="0" applyNumberFormat="1" applyFont="1" applyFill="1" applyAlignment="1">
      <alignment horizontal="center"/>
    </xf>
    <xf numFmtId="0" fontId="5" fillId="0" borderId="0" xfId="0" applyFont="1" applyAlignment="1">
      <alignment horizontal="center" vertical="center" wrapText="1"/>
    </xf>
    <xf numFmtId="164" fontId="0" fillId="3" borderId="0" xfId="0" applyNumberFormat="1" applyFill="1"/>
    <xf numFmtId="0" fontId="0" fillId="0" borderId="0" xfId="0" applyFont="1" applyAlignment="1">
      <alignment horizontal="center"/>
    </xf>
    <xf numFmtId="0" fontId="0" fillId="0" borderId="0" xfId="0" applyAlignment="1">
      <alignment horizontal="left"/>
    </xf>
    <xf numFmtId="0" fontId="6" fillId="0" borderId="0" xfId="0" applyFont="1" applyAlignment="1">
      <alignment horizontal="center"/>
    </xf>
    <xf numFmtId="0" fontId="0" fillId="0" borderId="0" xfId="0" applyAlignment="1">
      <alignment horizontal="center"/>
    </xf>
    <xf numFmtId="0" fontId="5" fillId="0" borderId="0" xfId="0" applyFont="1" applyAlignment="1">
      <alignment horizontal="left"/>
    </xf>
    <xf numFmtId="37" fontId="6" fillId="0" borderId="0" xfId="0" applyNumberFormat="1" applyFont="1" applyAlignment="1">
      <alignment horizontal="center"/>
    </xf>
    <xf numFmtId="0" fontId="6" fillId="0" borderId="0" xfId="0" applyFont="1" applyAlignment="1">
      <alignment horizontal="center"/>
    </xf>
    <xf numFmtId="0" fontId="2" fillId="0" borderId="0" xfId="0" applyFont="1" applyAlignment="1">
      <alignment horizontal="center"/>
    </xf>
    <xf numFmtId="0" fontId="0" fillId="0" borderId="0" xfId="0"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ontainer-recycling.org/isssues/jobs.htm" TargetMode="External"/></Relationships>
</file>

<file path=xl/drawings/drawing1.xml><?xml version="1.0" encoding="utf-8"?>
<xdr:wsDr xmlns:xdr="http://schemas.openxmlformats.org/drawingml/2006/spreadsheetDrawing" xmlns:a="http://schemas.openxmlformats.org/drawingml/2006/main">
  <xdr:twoCellAnchor>
    <xdr:from>
      <xdr:col>0</xdr:col>
      <xdr:colOff>1333500</xdr:colOff>
      <xdr:row>0</xdr:row>
      <xdr:rowOff>53340</xdr:rowOff>
    </xdr:from>
    <xdr:to>
      <xdr:col>2</xdr:col>
      <xdr:colOff>975360</xdr:colOff>
      <xdr:row>0</xdr:row>
      <xdr:rowOff>693420</xdr:rowOff>
    </xdr:to>
    <xdr:sp macro="" textlink="">
      <xdr:nvSpPr>
        <xdr:cNvPr id="2" name="TextBox 1">
          <a:hlinkClick xmlns:r="http://schemas.openxmlformats.org/officeDocument/2006/relationships" r:id="rId1"/>
        </xdr:cNvPr>
        <xdr:cNvSpPr txBox="1"/>
      </xdr:nvSpPr>
      <xdr:spPr>
        <a:xfrm>
          <a:off x="1333500" y="53340"/>
          <a:ext cx="5204460" cy="6400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all calculated values are estimates, based on CRI’s research. Actual job creation can vary dramatically, based on actual circumstances in each state. See CRI’s study, “Returning to Work” for more information.</a:t>
          </a:r>
        </a:p>
      </xdr:txBody>
    </xdr:sp>
    <xdr:clientData/>
  </xdr:twoCellAnchor>
  <xdr:twoCellAnchor editAs="oneCell">
    <xdr:from>
      <xdr:col>0</xdr:col>
      <xdr:colOff>152400</xdr:colOff>
      <xdr:row>0</xdr:row>
      <xdr:rowOff>106680</xdr:rowOff>
    </xdr:from>
    <xdr:to>
      <xdr:col>0</xdr:col>
      <xdr:colOff>1171717</xdr:colOff>
      <xdr:row>0</xdr:row>
      <xdr:rowOff>1164103</xdr:rowOff>
    </xdr:to>
    <xdr:pic>
      <xdr:nvPicPr>
        <xdr:cNvPr id="3" name="Picture 2" descr="cri-logo-web.PNG"/>
        <xdr:cNvPicPr>
          <a:picLocks noChangeAspect="1"/>
        </xdr:cNvPicPr>
      </xdr:nvPicPr>
      <xdr:blipFill>
        <a:blip xmlns:r="http://schemas.openxmlformats.org/officeDocument/2006/relationships" r:embed="rId2" cstate="print"/>
        <a:stretch>
          <a:fillRect/>
        </a:stretch>
      </xdr:blipFill>
      <xdr:spPr>
        <a:xfrm>
          <a:off x="152400" y="106680"/>
          <a:ext cx="1019317" cy="10574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61"/>
  <sheetViews>
    <sheetView tabSelected="1" zoomScaleNormal="100" workbookViewId="0">
      <selection activeCell="B5" sqref="B5"/>
    </sheetView>
  </sheetViews>
  <sheetFormatPr defaultRowHeight="14.4"/>
  <cols>
    <col min="1" max="1" width="65.44140625" bestFit="1" customWidth="1"/>
    <col min="2" max="2" width="15.6640625" customWidth="1"/>
    <col min="3" max="3" width="14.88671875" customWidth="1"/>
    <col min="4" max="4" width="13.33203125" customWidth="1"/>
    <col min="5" max="5" width="15.6640625" customWidth="1"/>
    <col min="8" max="8" width="18.88671875" bestFit="1" customWidth="1"/>
  </cols>
  <sheetData>
    <row r="1" spans="1:7" ht="109.2" customHeight="1"/>
    <row r="2" spans="1:7" ht="18">
      <c r="A2" s="20" t="s">
        <v>132</v>
      </c>
    </row>
    <row r="5" spans="1:7">
      <c r="A5" s="8" t="s">
        <v>128</v>
      </c>
      <c r="B5" s="69" t="s">
        <v>84</v>
      </c>
      <c r="C5" t="s">
        <v>126</v>
      </c>
    </row>
    <row r="7" spans="1:7">
      <c r="A7" s="8" t="s">
        <v>124</v>
      </c>
      <c r="B7" s="68">
        <v>0.75</v>
      </c>
      <c r="C7" t="s">
        <v>204</v>
      </c>
    </row>
    <row r="8" spans="1:7">
      <c r="A8" s="8"/>
      <c r="B8" s="68"/>
      <c r="C8" t="s">
        <v>203</v>
      </c>
    </row>
    <row r="9" spans="1:7">
      <c r="C9" s="74" t="s">
        <v>213</v>
      </c>
    </row>
    <row r="10" spans="1:7">
      <c r="C10" s="57"/>
    </row>
    <row r="11" spans="1:7" ht="43.2">
      <c r="A11" s="8" t="s">
        <v>206</v>
      </c>
      <c r="B11" s="71" t="s">
        <v>212</v>
      </c>
      <c r="C11" s="71" t="s">
        <v>211</v>
      </c>
      <c r="D11" s="71" t="s">
        <v>224</v>
      </c>
      <c r="E11" s="71" t="s">
        <v>216</v>
      </c>
      <c r="F11" s="71" t="s">
        <v>209</v>
      </c>
    </row>
    <row r="12" spans="1:7">
      <c r="A12" t="s">
        <v>205</v>
      </c>
      <c r="B12" s="35">
        <v>0.2</v>
      </c>
      <c r="C12" s="72">
        <v>0.1</v>
      </c>
      <c r="D12" s="72">
        <v>0.1</v>
      </c>
      <c r="E12" s="72">
        <v>0</v>
      </c>
      <c r="F12" s="35">
        <v>0.05</v>
      </c>
      <c r="G12" s="77" t="str">
        <f>IF(C12+E12&gt;1, "Error - sum of multi-family on-site and self-haul capture rates must not be greater than 100%","OK")</f>
        <v>OK</v>
      </c>
    </row>
    <row r="13" spans="1:7">
      <c r="A13" t="s">
        <v>207</v>
      </c>
      <c r="B13" s="35">
        <v>0.45</v>
      </c>
      <c r="C13" s="72">
        <v>0.3</v>
      </c>
      <c r="D13" s="72">
        <v>0.3</v>
      </c>
      <c r="E13" s="72">
        <v>0</v>
      </c>
      <c r="F13" s="35">
        <v>0.15</v>
      </c>
      <c r="G13" s="77" t="str">
        <f>IF(C13+E13&gt;1, "Error - sum of multi-family on-site and self-haul capture rates must not be greater than 100%","OK")</f>
        <v>OK</v>
      </c>
    </row>
    <row r="14" spans="1:7">
      <c r="A14" t="s">
        <v>208</v>
      </c>
      <c r="B14" s="35">
        <v>0.4</v>
      </c>
      <c r="C14" s="72">
        <v>0.15</v>
      </c>
      <c r="D14" s="72">
        <v>0.15</v>
      </c>
      <c r="E14" s="72">
        <v>0</v>
      </c>
      <c r="F14" s="35">
        <v>0.05</v>
      </c>
      <c r="G14" s="77" t="str">
        <f>IF(C14+E14&gt;1, "Error - sum of multi-family on-site and self-haul capture rates must not be greater than 100%","OK")</f>
        <v>OK</v>
      </c>
    </row>
    <row r="15" spans="1:7">
      <c r="B15" t="s">
        <v>225</v>
      </c>
      <c r="C15" s="34"/>
    </row>
    <row r="16" spans="1:7">
      <c r="C16" s="76"/>
    </row>
    <row r="17" spans="1:9">
      <c r="A17" s="8" t="s">
        <v>190</v>
      </c>
      <c r="B17" s="17" t="s">
        <v>168</v>
      </c>
      <c r="C17" s="34"/>
    </row>
    <row r="18" spans="1:9">
      <c r="A18" t="s">
        <v>166</v>
      </c>
      <c r="B18" s="35">
        <v>0.77</v>
      </c>
      <c r="C18" s="34"/>
    </row>
    <row r="19" spans="1:9">
      <c r="A19" t="s">
        <v>167</v>
      </c>
      <c r="B19" s="35">
        <v>0.23</v>
      </c>
      <c r="C19" s="36">
        <f>B18+B19</f>
        <v>1</v>
      </c>
    </row>
    <row r="20" spans="1:9">
      <c r="C20" s="23" t="str">
        <f>IF(C19=1,"OK","Wrong:Allocations Must Sum to 100%")</f>
        <v>OK</v>
      </c>
    </row>
    <row r="21" spans="1:9">
      <c r="A21" s="8" t="s">
        <v>200</v>
      </c>
      <c r="C21" s="23"/>
    </row>
    <row r="22" spans="1:9">
      <c r="A22" t="s">
        <v>201</v>
      </c>
      <c r="B22" s="35">
        <v>0</v>
      </c>
      <c r="C22" s="23"/>
    </row>
    <row r="23" spans="1:9">
      <c r="A23" t="s">
        <v>202</v>
      </c>
      <c r="B23" s="35">
        <v>0.56000000000000005</v>
      </c>
      <c r="C23" s="23"/>
    </row>
    <row r="25" spans="1:9">
      <c r="A25" s="8" t="s">
        <v>127</v>
      </c>
      <c r="B25" s="69">
        <v>10</v>
      </c>
      <c r="C25" s="17" t="s">
        <v>125</v>
      </c>
    </row>
    <row r="26" spans="1:9">
      <c r="B26" s="17" t="str">
        <f>IF(OR(B25=5,B25=10,B25=15),"","INCORRECT - MUST ENTER 5, 10 or 15")</f>
        <v/>
      </c>
    </row>
    <row r="28" spans="1:9">
      <c r="A28" s="8" t="s">
        <v>169</v>
      </c>
      <c r="B28" s="18" t="s">
        <v>135</v>
      </c>
      <c r="E28" s="18" t="s">
        <v>114</v>
      </c>
      <c r="H28" s="18" t="s">
        <v>162</v>
      </c>
    </row>
    <row r="29" spans="1:9">
      <c r="A29" t="s">
        <v>119</v>
      </c>
      <c r="B29" s="70">
        <v>0.5</v>
      </c>
      <c r="E29" s="70">
        <v>0.2</v>
      </c>
      <c r="H29" s="70">
        <v>0.2</v>
      </c>
    </row>
    <row r="30" spans="1:9">
      <c r="A30" t="s">
        <v>120</v>
      </c>
      <c r="B30" s="70">
        <v>0.3</v>
      </c>
      <c r="E30" s="70">
        <v>0.2</v>
      </c>
      <c r="H30" s="70">
        <v>0.2</v>
      </c>
    </row>
    <row r="31" spans="1:9">
      <c r="A31" t="s">
        <v>121</v>
      </c>
      <c r="B31" s="70">
        <v>0.2</v>
      </c>
      <c r="E31" s="70">
        <v>0.4</v>
      </c>
      <c r="H31" s="70">
        <v>0.4</v>
      </c>
    </row>
    <row r="32" spans="1:9">
      <c r="A32" t="s">
        <v>183</v>
      </c>
      <c r="B32" s="70">
        <v>0</v>
      </c>
      <c r="C32" s="24">
        <f>SUM(B29:B32)</f>
        <v>1</v>
      </c>
      <c r="E32" s="70">
        <v>0.2</v>
      </c>
      <c r="F32" s="24">
        <f>SUM(E29:E32)</f>
        <v>1</v>
      </c>
      <c r="H32" s="70">
        <v>0.2</v>
      </c>
      <c r="I32" s="24">
        <f>SUM(H29:H32)</f>
        <v>1</v>
      </c>
    </row>
    <row r="33" spans="1:9">
      <c r="C33" s="23" t="str">
        <f>IF(C32=1,"OK","Wrong:Allocations Must Sum to 100%")</f>
        <v>OK</v>
      </c>
      <c r="F33" s="23" t="str">
        <f>IF(F32=1,"OK","Wrong:Allocations Must Sum to 100%")</f>
        <v>OK</v>
      </c>
      <c r="I33" s="23" t="str">
        <f>IF(I32=1,"OK","Wrong:Allocations Must Sum to 100%")</f>
        <v>OK</v>
      </c>
    </row>
    <row r="34" spans="1:9">
      <c r="A34" s="8" t="s">
        <v>184</v>
      </c>
      <c r="C34" s="23"/>
      <c r="F34" s="23"/>
      <c r="I34" s="23"/>
    </row>
    <row r="35" spans="1:9">
      <c r="A35" t="s">
        <v>185</v>
      </c>
      <c r="B35" s="70">
        <v>1</v>
      </c>
      <c r="C35" s="23"/>
      <c r="E35" s="70">
        <v>0.98</v>
      </c>
      <c r="F35" s="23"/>
      <c r="H35" s="70">
        <v>0.98</v>
      </c>
      <c r="I35" s="23"/>
    </row>
    <row r="36" spans="1:9">
      <c r="A36" t="s">
        <v>183</v>
      </c>
      <c r="B36" s="70">
        <v>0</v>
      </c>
      <c r="C36" s="40">
        <f>SUM(B35:B36)</f>
        <v>1</v>
      </c>
      <c r="E36" s="70">
        <v>0.02</v>
      </c>
      <c r="F36" s="40">
        <f>SUM(E35:E36)</f>
        <v>1</v>
      </c>
      <c r="H36" s="70">
        <v>0.02</v>
      </c>
      <c r="I36" s="40">
        <f>SUM(H35:H36)</f>
        <v>1</v>
      </c>
    </row>
    <row r="37" spans="1:9">
      <c r="C37" s="23" t="str">
        <f>IF(C36=1,"OK","Wrong:Allocations Must Sum to 100%")</f>
        <v>OK</v>
      </c>
      <c r="F37" s="23" t="str">
        <f>IF(F36=1,"OK","Wrong:Allocations Must Sum to 100%")</f>
        <v>OK</v>
      </c>
      <c r="I37" s="23" t="str">
        <f>IF(I36=1,"OK","Wrong:Allocations Must Sum to 100%")</f>
        <v>OK</v>
      </c>
    </row>
    <row r="38" spans="1:9">
      <c r="A38" s="8" t="s">
        <v>186</v>
      </c>
      <c r="C38" s="23"/>
      <c r="F38" s="23"/>
      <c r="I38" s="23"/>
    </row>
    <row r="39" spans="1:9">
      <c r="A39" t="s">
        <v>123</v>
      </c>
      <c r="B39" s="70">
        <v>0.83</v>
      </c>
      <c r="C39" s="23"/>
      <c r="E39" s="70">
        <v>0.75</v>
      </c>
      <c r="F39" s="23"/>
      <c r="H39" s="70">
        <v>0.75</v>
      </c>
      <c r="I39" s="23"/>
    </row>
    <row r="40" spans="1:9">
      <c r="A40" t="s">
        <v>183</v>
      </c>
      <c r="B40" s="70">
        <v>0.17</v>
      </c>
      <c r="C40" s="40">
        <f>SUM(B39:B40)</f>
        <v>1</v>
      </c>
      <c r="E40" s="70">
        <v>0.25</v>
      </c>
      <c r="F40" s="40">
        <f>SUM(E39:E40)</f>
        <v>1</v>
      </c>
      <c r="H40" s="70">
        <v>0.25</v>
      </c>
      <c r="I40" s="40">
        <f>SUM(H39:H40)</f>
        <v>1</v>
      </c>
    </row>
    <row r="41" spans="1:9">
      <c r="C41" s="23" t="str">
        <f>IF(C40=1,"OK","Wrong:Allocations Must Sum to 100%")</f>
        <v>OK</v>
      </c>
      <c r="F41" s="23" t="str">
        <f>IF(F40=1,"OK","Wrong:Allocations Must Sum to 100%")</f>
        <v>OK</v>
      </c>
      <c r="I41" s="23" t="str">
        <f>IF(I40=1,"OK","Wrong:Allocations Must Sum to 100%")</f>
        <v>OK</v>
      </c>
    </row>
    <row r="42" spans="1:9" ht="15" thickBot="1">
      <c r="C42" s="23"/>
      <c r="F42" s="23"/>
      <c r="I42" s="23"/>
    </row>
    <row r="43" spans="1:9" ht="15" thickTop="1">
      <c r="A43" s="41"/>
      <c r="B43" s="42"/>
      <c r="C43" s="43"/>
      <c r="D43" s="63" t="s">
        <v>197</v>
      </c>
      <c r="E43" s="47"/>
      <c r="F43" s="64"/>
      <c r="G43" s="46"/>
      <c r="H43" s="46"/>
      <c r="I43" s="23"/>
    </row>
    <row r="44" spans="1:9">
      <c r="A44" s="44" t="s">
        <v>199</v>
      </c>
      <c r="B44" s="45" t="s">
        <v>135</v>
      </c>
      <c r="C44" s="45" t="s">
        <v>114</v>
      </c>
      <c r="D44" s="45" t="s">
        <v>114</v>
      </c>
      <c r="E44" s="47"/>
      <c r="F44" s="46"/>
      <c r="G44" s="46"/>
      <c r="H44" s="45"/>
    </row>
    <row r="45" spans="1:9">
      <c r="A45" s="47" t="s">
        <v>133</v>
      </c>
      <c r="B45" s="48">
        <f>('Model Parameters'!B62*'Model Parameters'!B16*('Job Impacts Data'!C9+'Job Impacts Data'!C14+'Job Impacts Data'!C17 +'Job Impacts Data'!C22+B29*'Job Impacts Data'!C27+B30*'Job Impacts Data'!C28+B31*'Job Impacts Data'!C29)+'Model Parameters'!B63*'Model Parameters'!B17*('Job Impacts Data'!C9+'Job Impacts Data'!C14+'Job Impacts Data'!C18+'Job Impacts Data'!C23+B35*'Job Impacts Data'!C30)+'Model Parameters'!B64*'Model Parameters'!B18*('Job Impacts Data'!C9+'Job Impacts Data'!C14+'Job Impacts Data'!C19+'Job Impacts Data'!C24+B39*'Job Impacts Data'!C31))/1000</f>
        <v>232.94790959571736</v>
      </c>
      <c r="C45" s="48">
        <f>('User Inputs &amp; Jobs Calculator'!B12*'Model Parameters'!B31*('Job Impacts Data'!D9+'Job Impacts Data'!D14+'Job Impacts Data'!D22+'Job Impacts Data'!D16+E29*'Job Impacts Data'!D27+E30*'Job Impacts Data'!D28+'User Inputs &amp; Jobs Calculator'!E31*'Job Impacts Data'!D29)+'User Inputs &amp; Jobs Calculator'!B13*'Model Parameters'!B32*('Job Impacts Data'!D9+'Job Impacts Data'!D14+'Job Impacts Data'!D23+'Job Impacts Data'!D16+E35*'Job Impacts Data'!D30)+'User Inputs &amp; Jobs Calculator'!B14*'Model Parameters'!B33*('Job Impacts Data'!D9+'Job Impacts Data'!D14+'Job Impacts Data'!D24+'Job Impacts Data'!D16+E39*'Job Impacts Data'!D31))/1000</f>
        <v>10.082914367205408</v>
      </c>
      <c r="D45" s="48">
        <f>C45+(('Model Parameters'!B26+'Model Parameters'!B46)*('Job Impacts Data'!D9+'Job Impacts Data'!D14+'Job Impacts Data'!D22+'Job Impacts Data'!D16+H29*'Job Impacts Data'!D27+H30*'Job Impacts Data'!D28+'User Inputs &amp; Jobs Calculator'!H31*'Job Impacts Data'!D29)+('Model Parameters'!B27+'Model Parameters'!B47)*('Job Impacts Data'!D9+'Job Impacts Data'!D14+'Job Impacts Data'!D23+'Job Impacts Data'!D16+H35*'Job Impacts Data'!D30)+('Model Parameters'!B28+'Model Parameters'!B48)*('Job Impacts Data'!D9+'Job Impacts Data'!D14+'Job Impacts Data'!D24+'Job Impacts Data'!D16+H39*'Job Impacts Data'!D31))/1000</f>
        <v>15.934533568121715</v>
      </c>
      <c r="E45" s="47"/>
      <c r="F45" s="46"/>
      <c r="G45" s="46"/>
      <c r="H45" s="46"/>
    </row>
    <row r="46" spans="1:9">
      <c r="A46" s="47"/>
      <c r="B46" s="49"/>
      <c r="C46" s="49"/>
      <c r="D46" s="46"/>
      <c r="E46" s="47"/>
      <c r="F46" s="46"/>
      <c r="G46" s="46"/>
      <c r="H46" s="46"/>
    </row>
    <row r="47" spans="1:9">
      <c r="A47" s="47" t="s">
        <v>134</v>
      </c>
      <c r="B47" s="50">
        <f>('Model Parameters'!B62*'Model Parameters'!B16*('Job Impacts Data'!E9+'Job Impacts Data'!E12+(1-B32)*'Job Impacts Data'!E14+'Job Impacts Data'!E27)+'Model Parameters'!B63*'Model Parameters'!B17*('Job Impacts Data'!E9+'Job Impacts Data'!E12+(1-B36)*'Job Impacts Data'!E14+'Job Impacts Data'!E30)+'Model Parameters'!B64*'Model Parameters'!B18*('Job Impacts Data'!E9+'Job Impacts Data'!E12+(1-B40)*'Job Impacts Data'!E14+'Job Impacts Data'!E31))/1000</f>
        <v>44.170354937337599</v>
      </c>
      <c r="C47" s="50">
        <f>('User Inputs &amp; Jobs Calculator'!B12*'Model Parameters'!B31*('Job Impacts Data'!E9+'Job Impacts Data'!E12+(1-E32)*'Job Impacts Data'!E14+E29*'Job Impacts Data'!E27+E30*'Job Impacts Data'!E28+E31*'Job Impacts Data'!E29)+'User Inputs &amp; Jobs Calculator'!B13*'Model Parameters'!B32*('Job Impacts Data'!E9+'Job Impacts Data'!E12+(1-E36)*'Job Impacts Data'!E14+E35*'Job Impacts Data'!E30)+'User Inputs &amp; Jobs Calculator'!B14*'Model Parameters'!B33*('Job Impacts Data'!E9+'Job Impacts Data'!E12+(1-E40)*'Job Impacts Data'!E14+E39*'Job Impacts Data'!E31))/1000</f>
        <v>4.6591623013997623</v>
      </c>
      <c r="D47" s="50">
        <f>C47+(('Model Parameters'!B26+'Model Parameters'!B46)*('Job Impacts Data'!E9+'Job Impacts Data'!E12+(1-H32)*'Job Impacts Data'!E14+H29*'Job Impacts Data'!E27+H30*'Job Impacts Data'!E28+H31*'Job Impacts Data'!E29)+('Model Parameters'!B27+'Model Parameters'!B47)*('Job Impacts Data'!E9+'Job Impacts Data'!E12+(1-H36)*'Job Impacts Data'!E14+H35*'Job Impacts Data'!E30)+('Model Parameters'!B28+'Model Parameters'!B48)*('Job Impacts Data'!E9+'Job Impacts Data'!E12+(1-H40)*'Job Impacts Data'!E14+H39*'Job Impacts Data'!E31))/1000</f>
        <v>7.3666890588296017</v>
      </c>
      <c r="E47" s="47"/>
      <c r="F47" s="46"/>
      <c r="G47" s="46"/>
      <c r="H47" s="46"/>
    </row>
    <row r="48" spans="1:9">
      <c r="A48" s="47"/>
      <c r="B48" s="49"/>
      <c r="C48" s="49"/>
      <c r="D48" s="46"/>
      <c r="E48" s="47"/>
      <c r="F48" s="46"/>
      <c r="G48" s="46"/>
      <c r="H48" s="46"/>
    </row>
    <row r="49" spans="1:8">
      <c r="A49" s="47" t="s">
        <v>136</v>
      </c>
      <c r="B49" s="51">
        <f>B45-B47</f>
        <v>188.77755465837976</v>
      </c>
      <c r="C49" s="51">
        <f>C45-C47</f>
        <v>5.4237520658056457</v>
      </c>
      <c r="D49" s="51">
        <f>D45-D47</f>
        <v>8.5678445092921134</v>
      </c>
      <c r="E49" s="47"/>
      <c r="F49" s="46"/>
      <c r="G49" s="46"/>
      <c r="H49" s="46"/>
    </row>
    <row r="50" spans="1:8" ht="15" thickBot="1">
      <c r="A50" s="47"/>
      <c r="B50" s="46"/>
      <c r="C50" s="46"/>
      <c r="D50" s="46"/>
      <c r="E50" s="47"/>
      <c r="F50" s="46"/>
      <c r="G50" s="46"/>
      <c r="H50" s="46"/>
    </row>
    <row r="51" spans="1:8" ht="15" thickBot="1">
      <c r="A51" s="52" t="s">
        <v>188</v>
      </c>
      <c r="B51" s="31">
        <f>B49-C49</f>
        <v>183.35380259257411</v>
      </c>
      <c r="C51" s="46"/>
      <c r="D51" s="46"/>
      <c r="E51" s="47"/>
      <c r="F51" s="46"/>
      <c r="G51" s="46"/>
      <c r="H51" s="46"/>
    </row>
    <row r="52" spans="1:8" ht="15" thickBot="1">
      <c r="A52" s="53" t="s">
        <v>187</v>
      </c>
      <c r="B52" s="54">
        <f>B49-D49</f>
        <v>180.20971014908764</v>
      </c>
      <c r="C52" s="55"/>
      <c r="D52" s="55"/>
      <c r="E52" s="47"/>
      <c r="F52" s="46"/>
      <c r="G52" s="46"/>
      <c r="H52" s="46"/>
    </row>
    <row r="53" spans="1:8" ht="15" thickTop="1"/>
    <row r="54" spans="1:8" ht="15" thickBot="1"/>
    <row r="55" spans="1:8" ht="15" thickTop="1">
      <c r="A55" s="60" t="s">
        <v>198</v>
      </c>
      <c r="B55" s="42"/>
      <c r="C55" s="43"/>
      <c r="D55" s="63" t="s">
        <v>197</v>
      </c>
      <c r="E55" s="47"/>
      <c r="F55" s="46"/>
      <c r="G55" s="46"/>
      <c r="H55" s="65"/>
    </row>
    <row r="56" spans="1:8">
      <c r="A56" s="44"/>
      <c r="B56" s="45" t="s">
        <v>135</v>
      </c>
      <c r="C56" s="45" t="s">
        <v>114</v>
      </c>
      <c r="D56" s="45" t="s">
        <v>114</v>
      </c>
      <c r="E56" s="66"/>
      <c r="F56" s="46"/>
      <c r="G56" s="46"/>
      <c r="H56" s="45"/>
    </row>
    <row r="57" spans="1:8">
      <c r="A57" s="47" t="s">
        <v>105</v>
      </c>
      <c r="B57" s="49">
        <f>'Model Parameters'!B62*'Model Parameters'!B16</f>
        <v>19292.439402099124</v>
      </c>
      <c r="C57" s="49">
        <f>'Model Parameters'!B36</f>
        <v>1759.4023825088443</v>
      </c>
      <c r="D57" s="49">
        <f>C57+'Model Parameters'!B46+'Model Parameters'!B26</f>
        <v>2763.5511564005719</v>
      </c>
      <c r="E57" s="47"/>
      <c r="F57" s="46"/>
      <c r="G57" s="46"/>
      <c r="H57" s="46"/>
    </row>
    <row r="58" spans="1:8">
      <c r="A58" s="47" t="s">
        <v>106</v>
      </c>
      <c r="B58" s="49">
        <f>'Model Parameters'!B63*'Model Parameters'!B17</f>
        <v>1983.178750246748</v>
      </c>
      <c r="C58" s="49">
        <f>'Model Parameters'!B37</f>
        <v>536.4110632985421</v>
      </c>
      <c r="D58" s="49">
        <f>C58+'Model Parameters'!B47+'Model Parameters'!B27</f>
        <v>833.25267534760758</v>
      </c>
      <c r="E58" s="47"/>
      <c r="F58" s="46"/>
      <c r="G58" s="46"/>
      <c r="H58" s="46"/>
    </row>
    <row r="59" spans="1:8" ht="15" thickBot="1">
      <c r="A59" s="61" t="s">
        <v>107</v>
      </c>
      <c r="B59" s="62">
        <f>'Model Parameters'!B64*'Model Parameters'!B18</f>
        <v>5823.7529147272653</v>
      </c>
      <c r="C59" s="62">
        <f>'Model Parameters'!B38</f>
        <v>595.48216126787156</v>
      </c>
      <c r="D59" s="62">
        <f>C59+'Model Parameters'!B48+'Model Parameters'!B28</f>
        <v>968.25459029979856</v>
      </c>
      <c r="E59" s="47"/>
      <c r="F59" s="46"/>
      <c r="G59" s="46"/>
      <c r="H59" s="46"/>
    </row>
    <row r="60" spans="1:8" ht="15" thickTop="1"/>
    <row r="61" spans="1:8">
      <c r="B61" s="9"/>
      <c r="C61" s="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G64"/>
  <sheetViews>
    <sheetView topLeftCell="A31" workbookViewId="0">
      <selection activeCell="A51" sqref="A51"/>
    </sheetView>
  </sheetViews>
  <sheetFormatPr defaultRowHeight="14.4"/>
  <cols>
    <col min="1" max="1" width="53.44140625" customWidth="1"/>
    <col min="2" max="3" width="12.6640625" customWidth="1"/>
    <col min="4" max="4" width="18.44140625" customWidth="1"/>
    <col min="5" max="5" width="11.88671875" bestFit="1" customWidth="1"/>
    <col min="6" max="6" width="16.6640625" bestFit="1" customWidth="1"/>
  </cols>
  <sheetData>
    <row r="1" spans="1:2" ht="18">
      <c r="A1" s="20" t="s">
        <v>129</v>
      </c>
    </row>
    <row r="4" spans="1:2">
      <c r="A4" s="8" t="s">
        <v>128</v>
      </c>
      <c r="B4" s="14" t="str">
        <f>'User Inputs &amp; Jobs Calculator'!B5</f>
        <v>AK</v>
      </c>
    </row>
    <row r="6" spans="1:2">
      <c r="A6" s="8" t="s">
        <v>104</v>
      </c>
      <c r="B6" s="9">
        <f>VLOOKUP($B$4,'Data for States'!$B$7:$H$58,3,FALSE)</f>
        <v>283878</v>
      </c>
    </row>
    <row r="8" spans="1:2">
      <c r="A8" s="8" t="s">
        <v>111</v>
      </c>
    </row>
    <row r="9" spans="1:2">
      <c r="A9" t="s">
        <v>109</v>
      </c>
      <c r="B9" s="9">
        <f>VLOOKUP($B$4,'Data for States'!$B$7:$H$58,4,FALSE)</f>
        <v>222276.47400000002</v>
      </c>
    </row>
    <row r="10" spans="1:2">
      <c r="A10" t="s">
        <v>110</v>
      </c>
      <c r="B10" s="15">
        <f>'User Inputs &amp; Jobs Calculator'!B7</f>
        <v>0.75</v>
      </c>
    </row>
    <row r="11" spans="1:2">
      <c r="A11" t="s">
        <v>112</v>
      </c>
      <c r="B11" s="9">
        <f>B9*B10</f>
        <v>166707.35550000001</v>
      </c>
    </row>
    <row r="12" spans="1:2">
      <c r="B12" s="9"/>
    </row>
    <row r="13" spans="1:2">
      <c r="A13" s="37" t="s">
        <v>172</v>
      </c>
      <c r="B13" s="9">
        <f>B6-B11</f>
        <v>117170.64449999999</v>
      </c>
    </row>
    <row r="14" spans="1:2">
      <c r="B14" s="9"/>
    </row>
    <row r="15" spans="1:2">
      <c r="A15" s="8" t="s">
        <v>113</v>
      </c>
      <c r="B15" s="9"/>
    </row>
    <row r="16" spans="1:2">
      <c r="A16" t="s">
        <v>105</v>
      </c>
      <c r="B16" s="9">
        <f>VLOOKUP($B$4,'Data for States'!$B$7:$H$58,5,FALSE)</f>
        <v>22696.987531881321</v>
      </c>
    </row>
    <row r="17" spans="1:3">
      <c r="A17" t="s">
        <v>106</v>
      </c>
      <c r="B17" s="9">
        <f>VLOOKUP($B$4,'Data for States'!$B$7:$H$58,6,FALSE)</f>
        <v>2333.1514708785271</v>
      </c>
    </row>
    <row r="18" spans="1:3">
      <c r="A18" t="s">
        <v>107</v>
      </c>
      <c r="B18" s="67">
        <f>VLOOKUP($B$4,'Data for States'!$B$7:$H$58,7,FALSE)</f>
        <v>6851.4740173261944</v>
      </c>
    </row>
    <row r="19" spans="1:3">
      <c r="B19" s="9">
        <f>SUM(B16:B18)</f>
        <v>31881.613020086043</v>
      </c>
    </row>
    <row r="20" spans="1:3">
      <c r="A20" s="8" t="s">
        <v>154</v>
      </c>
      <c r="B20" s="9"/>
    </row>
    <row r="21" spans="1:3">
      <c r="A21" t="s">
        <v>105</v>
      </c>
      <c r="B21" s="59">
        <v>0.34</v>
      </c>
      <c r="C21" t="s">
        <v>153</v>
      </c>
    </row>
    <row r="22" spans="1:3">
      <c r="A22" t="s">
        <v>106</v>
      </c>
      <c r="B22" s="59">
        <v>0.13</v>
      </c>
      <c r="C22" t="s">
        <v>153</v>
      </c>
    </row>
    <row r="23" spans="1:3">
      <c r="A23" t="s">
        <v>107</v>
      </c>
      <c r="B23" s="59">
        <v>0.63</v>
      </c>
      <c r="C23" t="s">
        <v>153</v>
      </c>
    </row>
    <row r="24" spans="1:3">
      <c r="B24" s="59"/>
    </row>
    <row r="25" spans="1:3">
      <c r="A25" s="8" t="s">
        <v>180</v>
      </c>
      <c r="B25" s="21"/>
    </row>
    <row r="26" spans="1:3">
      <c r="A26" t="s">
        <v>105</v>
      </c>
      <c r="B26" s="9">
        <f>B16*B21*'User Inputs &amp; Jobs Calculator'!F12</f>
        <v>385.84878804198252</v>
      </c>
    </row>
    <row r="27" spans="1:3">
      <c r="A27" t="s">
        <v>106</v>
      </c>
      <c r="B27" s="9">
        <f>B17*B22*'User Inputs &amp; Jobs Calculator'!F13</f>
        <v>45.496453682131282</v>
      </c>
    </row>
    <row r="28" spans="1:3">
      <c r="A28" t="s">
        <v>107</v>
      </c>
      <c r="B28" s="9">
        <f>B18*B23*'User Inputs &amp; Jobs Calculator'!F14</f>
        <v>215.82143154577511</v>
      </c>
    </row>
    <row r="29" spans="1:3">
      <c r="B29" s="9"/>
    </row>
    <row r="30" spans="1:3">
      <c r="A30" s="8" t="s">
        <v>181</v>
      </c>
      <c r="B30" s="9"/>
    </row>
    <row r="31" spans="1:3">
      <c r="A31" t="s">
        <v>105</v>
      </c>
      <c r="B31" s="39">
        <f>($B$11/$B$6)*B16*(1-B21)</f>
        <v>8797.0119125442216</v>
      </c>
    </row>
    <row r="32" spans="1:3">
      <c r="A32" t="s">
        <v>106</v>
      </c>
      <c r="B32" s="9">
        <f>($B$11/$B$6)*B17*(1-B22)</f>
        <v>1192.0245851078712</v>
      </c>
    </row>
    <row r="33" spans="1:7">
      <c r="A33" t="s">
        <v>107</v>
      </c>
      <c r="B33" s="9">
        <f>($B$11/$B$6)*B18*(1-B23)</f>
        <v>1488.7054031696789</v>
      </c>
    </row>
    <row r="35" spans="1:7">
      <c r="A35" s="8" t="s">
        <v>179</v>
      </c>
      <c r="B35" s="21"/>
    </row>
    <row r="36" spans="1:7">
      <c r="A36" t="s">
        <v>105</v>
      </c>
      <c r="B36" s="9">
        <f>B31*'User Inputs &amp; Jobs Calculator'!B12</f>
        <v>1759.4023825088443</v>
      </c>
    </row>
    <row r="37" spans="1:7">
      <c r="A37" t="s">
        <v>106</v>
      </c>
      <c r="B37" s="9">
        <f>B32*'User Inputs &amp; Jobs Calculator'!B13</f>
        <v>536.4110632985421</v>
      </c>
    </row>
    <row r="38" spans="1:7">
      <c r="A38" t="s">
        <v>107</v>
      </c>
      <c r="B38" s="9">
        <f>B33*'User Inputs &amp; Jobs Calculator'!B14</f>
        <v>595.48216126787156</v>
      </c>
    </row>
    <row r="39" spans="1:7">
      <c r="B39" s="21"/>
    </row>
    <row r="40" spans="1:7">
      <c r="A40" s="8" t="s">
        <v>182</v>
      </c>
      <c r="B40" s="38" t="s">
        <v>173</v>
      </c>
      <c r="C40" s="18" t="s">
        <v>174</v>
      </c>
      <c r="D40" s="18" t="s">
        <v>175</v>
      </c>
    </row>
    <row r="41" spans="1:7">
      <c r="A41" t="s">
        <v>105</v>
      </c>
      <c r="B41" s="9">
        <f>(1-B21)*($B$13/$B$6)*B16</f>
        <v>6182.9998584974492</v>
      </c>
      <c r="C41" s="39">
        <f>(($B$9-$B$11)/$B$6)*B16*(1-B21)</f>
        <v>2932.3373041814075</v>
      </c>
      <c r="D41" s="9">
        <f>(($B$6-$B$9)/$B$6)*B16*(1-B21)</f>
        <v>3250.6625543160417</v>
      </c>
      <c r="E41" s="9"/>
      <c r="F41" t="s">
        <v>177</v>
      </c>
    </row>
    <row r="42" spans="1:7">
      <c r="A42" t="s">
        <v>106</v>
      </c>
      <c r="B42" s="9">
        <f>(1-B22)*($B$13/$B$6)*B17</f>
        <v>837.81719455644748</v>
      </c>
      <c r="C42" s="39">
        <f>(($B$9-$B$11)/$B$6)*B17*(1-B22)</f>
        <v>397.34152836929042</v>
      </c>
      <c r="D42" s="9">
        <f>(($B$6-$B$9)/$B$6)*B17*(1-B22)</f>
        <v>440.475666187157</v>
      </c>
      <c r="E42" s="9"/>
      <c r="F42" t="s">
        <v>178</v>
      </c>
    </row>
    <row r="43" spans="1:7">
      <c r="A43" t="s">
        <v>107</v>
      </c>
      <c r="B43" s="9">
        <f>(1-B23)*($B$13/$B$6)*B18</f>
        <v>1046.3399832410132</v>
      </c>
      <c r="C43" s="39">
        <f>(($B$9-$B$11)/$B$6)*B18*(1-B23)</f>
        <v>496.23513438989301</v>
      </c>
      <c r="D43" s="9">
        <f>(($B$6-$B$9)/$B$6)*B18*(1-B23)</f>
        <v>550.10484885111998</v>
      </c>
      <c r="E43" s="9"/>
    </row>
    <row r="44" spans="1:7">
      <c r="B44" s="21"/>
    </row>
    <row r="45" spans="1:7">
      <c r="A45" s="8" t="s">
        <v>215</v>
      </c>
      <c r="B45" s="38" t="s">
        <v>176</v>
      </c>
      <c r="C45" s="18" t="s">
        <v>217</v>
      </c>
      <c r="D45" s="18" t="s">
        <v>223</v>
      </c>
      <c r="F45" s="75"/>
      <c r="G45" s="73"/>
    </row>
    <row r="46" spans="1:7">
      <c r="A46" t="s">
        <v>105</v>
      </c>
      <c r="B46" s="9">
        <f>C46+D46</f>
        <v>618.29998584974487</v>
      </c>
      <c r="C46" s="9">
        <f>C41*'User Inputs &amp; Jobs Calculator'!D12</f>
        <v>293.23373041814074</v>
      </c>
      <c r="D46" s="39">
        <f>B51+C51</f>
        <v>325.06625543160419</v>
      </c>
      <c r="E46" t="s">
        <v>220</v>
      </c>
    </row>
    <row r="47" spans="1:7">
      <c r="A47" t="s">
        <v>106</v>
      </c>
      <c r="B47" s="9">
        <f>C47+D47</f>
        <v>251.34515836693421</v>
      </c>
      <c r="C47" s="9">
        <f>C42*'User Inputs &amp; Jobs Calculator'!D13</f>
        <v>119.20245851078712</v>
      </c>
      <c r="D47" s="39">
        <f>B52+C52</f>
        <v>132.14269985614709</v>
      </c>
      <c r="E47" t="s">
        <v>219</v>
      </c>
      <c r="F47" s="9"/>
    </row>
    <row r="48" spans="1:7">
      <c r="A48" t="s">
        <v>107</v>
      </c>
      <c r="B48" s="9">
        <f>C48+D48</f>
        <v>156.95099748615195</v>
      </c>
      <c r="C48" s="9">
        <f>C43*'User Inputs &amp; Jobs Calculator'!D14</f>
        <v>74.435270158483945</v>
      </c>
      <c r="D48" s="39">
        <f>B53+C53</f>
        <v>82.515727327667989</v>
      </c>
      <c r="F48" s="9"/>
    </row>
    <row r="49" spans="1:6">
      <c r="B49" s="9"/>
      <c r="C49" s="9"/>
      <c r="D49" s="9"/>
      <c r="F49" s="9"/>
    </row>
    <row r="50" spans="1:6">
      <c r="A50" s="8" t="s">
        <v>222</v>
      </c>
      <c r="B50" s="75" t="s">
        <v>218</v>
      </c>
      <c r="C50" s="75" t="s">
        <v>221</v>
      </c>
      <c r="F50" s="9"/>
    </row>
    <row r="51" spans="1:6">
      <c r="A51" t="s">
        <v>105</v>
      </c>
      <c r="B51" s="39">
        <f>D41*'User Inputs &amp; Jobs Calculator'!C12</f>
        <v>325.06625543160419</v>
      </c>
      <c r="C51" s="9">
        <f>IF(B51=D41,0,IF((B51+D41*'User Inputs &amp; Jobs Calculator'!E12)&gt;D41,D41-B51,D41*'User Inputs &amp; Jobs Calculator'!E12))</f>
        <v>0</v>
      </c>
      <c r="D51" t="s">
        <v>220</v>
      </c>
      <c r="F51" s="9"/>
    </row>
    <row r="52" spans="1:6">
      <c r="A52" t="s">
        <v>106</v>
      </c>
      <c r="B52" s="9">
        <f>D42*'User Inputs &amp; Jobs Calculator'!C13</f>
        <v>132.14269985614709</v>
      </c>
      <c r="C52" s="9">
        <f>IF(B52=D42,0,IF((B52+D42*'User Inputs &amp; Jobs Calculator'!E13)&gt;D42,D42-B52,D42*'User Inputs &amp; Jobs Calculator'!E13))</f>
        <v>0</v>
      </c>
      <c r="D52" t="s">
        <v>219</v>
      </c>
      <c r="F52" s="9"/>
    </row>
    <row r="53" spans="1:6">
      <c r="A53" t="s">
        <v>107</v>
      </c>
      <c r="B53" s="9">
        <f>D43*'User Inputs &amp; Jobs Calculator'!C14</f>
        <v>82.515727327667989</v>
      </c>
      <c r="C53" s="9">
        <f>IF(B53=D43,0,IF((B53+D43*'User Inputs &amp; Jobs Calculator'!E14)&gt;D43,D43-B53,D43*'User Inputs &amp; Jobs Calculator'!E14))</f>
        <v>0</v>
      </c>
      <c r="D53" s="9"/>
      <c r="F53" s="9"/>
    </row>
    <row r="54" spans="1:6">
      <c r="B54" s="9"/>
      <c r="C54" s="9"/>
      <c r="D54" s="9"/>
      <c r="E54" s="21"/>
      <c r="F54" s="21"/>
    </row>
    <row r="55" spans="1:6">
      <c r="B55" s="78" t="s">
        <v>192</v>
      </c>
      <c r="C55" s="79"/>
      <c r="D55" s="79"/>
      <c r="E55" s="21"/>
      <c r="F55" s="21"/>
    </row>
    <row r="56" spans="1:6">
      <c r="A56" s="8" t="s">
        <v>191</v>
      </c>
      <c r="B56" s="58" t="s">
        <v>193</v>
      </c>
      <c r="C56" s="58" t="s">
        <v>194</v>
      </c>
      <c r="D56" s="58" t="s">
        <v>195</v>
      </c>
      <c r="E56" s="21"/>
      <c r="F56" s="21"/>
    </row>
    <row r="57" spans="1:6">
      <c r="A57" t="s">
        <v>105</v>
      </c>
      <c r="B57" s="59">
        <v>0.75</v>
      </c>
      <c r="C57" s="59">
        <v>0.85</v>
      </c>
      <c r="D57" s="59">
        <v>0.95</v>
      </c>
      <c r="E57" s="21"/>
      <c r="F57" s="21"/>
    </row>
    <row r="58" spans="1:6">
      <c r="A58" t="s">
        <v>106</v>
      </c>
      <c r="B58" s="59">
        <v>0.75</v>
      </c>
      <c r="C58" s="59">
        <v>0.85</v>
      </c>
      <c r="D58" s="59">
        <v>0.95</v>
      </c>
      <c r="E58" s="21"/>
      <c r="F58" s="21"/>
    </row>
    <row r="59" spans="1:6">
      <c r="A59" t="s">
        <v>107</v>
      </c>
      <c r="B59" s="59">
        <v>0.75</v>
      </c>
      <c r="C59" s="59">
        <v>0.85</v>
      </c>
      <c r="D59" s="59">
        <v>0.95</v>
      </c>
      <c r="E59" s="21"/>
      <c r="F59" s="21"/>
    </row>
    <row r="60" spans="1:6">
      <c r="B60" s="9"/>
      <c r="C60" s="9"/>
      <c r="D60" s="9"/>
      <c r="E60" s="21"/>
      <c r="F60" s="21"/>
    </row>
    <row r="61" spans="1:6">
      <c r="A61" s="8" t="s">
        <v>196</v>
      </c>
      <c r="B61" s="18"/>
      <c r="C61" s="18"/>
      <c r="D61" s="18"/>
    </row>
    <row r="62" spans="1:6">
      <c r="A62" t="s">
        <v>105</v>
      </c>
      <c r="B62" s="19">
        <f>IF('User Inputs &amp; Jobs Calculator'!B25=5,0.75,IF('User Inputs &amp; Jobs Calculator'!B25=10,0.85,IF('User Inputs &amp; Jobs Calculator'!B25=15,0.95,0)))</f>
        <v>0.85</v>
      </c>
      <c r="C62" s="19"/>
      <c r="D62" s="19"/>
    </row>
    <row r="63" spans="1:6">
      <c r="A63" t="s">
        <v>106</v>
      </c>
      <c r="B63" s="19">
        <f>IF('User Inputs &amp; Jobs Calculator'!B25=5,0.75,IF('User Inputs &amp; Jobs Calculator'!B25=10,0.85,IF('User Inputs &amp; Jobs Calculator'!B25=15,0.95,0)))</f>
        <v>0.85</v>
      </c>
      <c r="C63" s="19"/>
      <c r="D63" s="19"/>
    </row>
    <row r="64" spans="1:6">
      <c r="A64" t="s">
        <v>107</v>
      </c>
      <c r="B64" s="19">
        <f>IF('User Inputs &amp; Jobs Calculator'!B25=5,0.75,IF('User Inputs &amp; Jobs Calculator'!B25=10,0.85,IF('User Inputs &amp; Jobs Calculator'!B25=15,0.95,0)))</f>
        <v>0.85</v>
      </c>
      <c r="C64" s="19"/>
      <c r="D64" s="19"/>
    </row>
  </sheetData>
  <sheetProtection password="CA5E" sheet="1" objects="1" scenarios="1" selectLockedCells="1" selectUnlockedCells="1"/>
  <mergeCells count="1">
    <mergeCell ref="B55:D5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M67"/>
  <sheetViews>
    <sheetView workbookViewId="0"/>
  </sheetViews>
  <sheetFormatPr defaultRowHeight="14.4"/>
  <cols>
    <col min="1" max="1" width="18.6640625" bestFit="1" customWidth="1"/>
    <col min="2" max="2" width="12.5546875" bestFit="1" customWidth="1"/>
    <col min="3" max="3" width="14.109375" bestFit="1" customWidth="1"/>
    <col min="4" max="4" width="12.6640625" customWidth="1"/>
    <col min="5" max="5" width="19" bestFit="1" customWidth="1"/>
    <col min="6" max="8" width="14.6640625" customWidth="1"/>
    <col min="10" max="10" width="10.88671875" bestFit="1" customWidth="1"/>
  </cols>
  <sheetData>
    <row r="1" spans="1:13" ht="18">
      <c r="A1" s="20" t="s">
        <v>130</v>
      </c>
    </row>
    <row r="2" spans="1:13" ht="18">
      <c r="A2" s="20"/>
    </row>
    <row r="3" spans="1:13">
      <c r="C3" s="5" t="s">
        <v>138</v>
      </c>
    </row>
    <row r="4" spans="1:13">
      <c r="A4" s="5"/>
      <c r="B4" s="5"/>
      <c r="C4" s="5" t="s">
        <v>139</v>
      </c>
      <c r="D4" s="81" t="s">
        <v>152</v>
      </c>
      <c r="E4" s="81"/>
      <c r="F4" s="5"/>
      <c r="G4" s="5"/>
      <c r="H4" s="5"/>
      <c r="I4" s="5"/>
      <c r="J4" s="5"/>
      <c r="K4" s="5"/>
      <c r="L4" s="5"/>
      <c r="M4" s="5"/>
    </row>
    <row r="5" spans="1:13">
      <c r="A5" s="5"/>
      <c r="B5" s="5" t="s">
        <v>102</v>
      </c>
      <c r="C5" s="5">
        <v>2009</v>
      </c>
      <c r="D5" s="80" t="s">
        <v>140</v>
      </c>
      <c r="E5" s="80"/>
      <c r="F5" s="80" t="s">
        <v>108</v>
      </c>
      <c r="G5" s="80"/>
      <c r="H5" s="80"/>
      <c r="I5" s="5"/>
      <c r="J5" s="5"/>
      <c r="K5" s="5"/>
      <c r="L5" s="5"/>
      <c r="M5" s="5"/>
    </row>
    <row r="6" spans="1:13">
      <c r="A6" s="6" t="s">
        <v>102</v>
      </c>
      <c r="B6" s="6" t="s">
        <v>103</v>
      </c>
      <c r="C6" s="16" t="s">
        <v>145</v>
      </c>
      <c r="D6" s="16" t="s">
        <v>146</v>
      </c>
      <c r="E6" s="16" t="s">
        <v>147</v>
      </c>
      <c r="F6" s="6" t="s">
        <v>105</v>
      </c>
      <c r="G6" s="6" t="s">
        <v>106</v>
      </c>
      <c r="H6" s="6" t="s">
        <v>107</v>
      </c>
      <c r="I6" s="5"/>
      <c r="J6" s="5"/>
      <c r="K6" s="5"/>
      <c r="L6" s="5"/>
      <c r="M6" s="5"/>
    </row>
    <row r="7" spans="1:13">
      <c r="A7" t="s">
        <v>0</v>
      </c>
      <c r="B7" t="s">
        <v>83</v>
      </c>
      <c r="C7" s="9">
        <v>4708708</v>
      </c>
      <c r="D7" s="9">
        <v>2182343</v>
      </c>
      <c r="E7" s="9">
        <v>1608386.7910000002</v>
      </c>
      <c r="F7" s="32">
        <v>130678.94287652786</v>
      </c>
      <c r="G7" s="32">
        <v>26606.969916184997</v>
      </c>
      <c r="H7" s="32">
        <v>36091.98097395782</v>
      </c>
    </row>
    <row r="8" spans="1:13">
      <c r="A8" t="s">
        <v>1</v>
      </c>
      <c r="B8" t="s">
        <v>84</v>
      </c>
      <c r="C8" s="9">
        <v>698473</v>
      </c>
      <c r="D8" s="9">
        <v>283878</v>
      </c>
      <c r="E8" s="9">
        <v>222276.47400000002</v>
      </c>
      <c r="F8" s="32">
        <v>22696.987531881321</v>
      </c>
      <c r="G8" s="32">
        <v>2333.1514708785271</v>
      </c>
      <c r="H8" s="32">
        <v>6851.4740173261944</v>
      </c>
    </row>
    <row r="9" spans="1:13">
      <c r="A9" t="s">
        <v>2</v>
      </c>
      <c r="B9" t="s">
        <v>85</v>
      </c>
      <c r="C9" s="9">
        <v>6595778</v>
      </c>
      <c r="D9" s="9">
        <v>2752991</v>
      </c>
      <c r="E9" s="9">
        <v>1863774.9069999999</v>
      </c>
      <c r="F9" s="32">
        <v>144138.42991263655</v>
      </c>
      <c r="G9" s="32">
        <v>37368.268989061711</v>
      </c>
      <c r="H9" s="32">
        <v>52108.98997223319</v>
      </c>
    </row>
    <row r="10" spans="1:13">
      <c r="A10" t="s">
        <v>3</v>
      </c>
      <c r="B10" t="s">
        <v>86</v>
      </c>
      <c r="C10" s="9">
        <v>2889450</v>
      </c>
      <c r="D10" s="9">
        <v>1310624</v>
      </c>
      <c r="E10" s="9">
        <v>1009180.48</v>
      </c>
      <c r="F10" s="32">
        <v>98315.279888417557</v>
      </c>
      <c r="G10" s="32">
        <v>15189.061798090035</v>
      </c>
      <c r="H10" s="32">
        <v>22142.498245187631</v>
      </c>
    </row>
    <row r="11" spans="1:13">
      <c r="A11" t="s">
        <v>4</v>
      </c>
      <c r="B11" t="s">
        <v>87</v>
      </c>
      <c r="C11" s="9">
        <v>36961664</v>
      </c>
      <c r="D11" s="9">
        <v>13433718</v>
      </c>
      <c r="E11" s="9">
        <v>9726011.8319999985</v>
      </c>
      <c r="F11" s="32">
        <v>1150314.8178240994</v>
      </c>
      <c r="G11" s="32">
        <v>128812.4171113605</v>
      </c>
      <c r="H11" s="32">
        <v>366063.28251137864</v>
      </c>
    </row>
    <row r="12" spans="1:13">
      <c r="A12" t="s">
        <v>5</v>
      </c>
      <c r="B12" t="s">
        <v>88</v>
      </c>
      <c r="C12" s="9">
        <v>5024748</v>
      </c>
      <c r="D12" s="9">
        <v>2167850</v>
      </c>
      <c r="E12" s="9">
        <v>1608544.7</v>
      </c>
      <c r="F12" s="32">
        <v>180965.57519067064</v>
      </c>
      <c r="G12" s="32">
        <v>20094.30137230334</v>
      </c>
      <c r="H12" s="32">
        <v>48885.654255822694</v>
      </c>
    </row>
    <row r="13" spans="1:13">
      <c r="A13" t="s">
        <v>18</v>
      </c>
      <c r="B13" t="s">
        <v>89</v>
      </c>
      <c r="C13" s="9">
        <v>3518288</v>
      </c>
      <c r="D13" s="9">
        <v>1445825</v>
      </c>
      <c r="E13" s="9">
        <v>1182684.8500000001</v>
      </c>
      <c r="F13" s="32">
        <v>114381.49614060212</v>
      </c>
      <c r="G13" s="32">
        <v>15423.587858876279</v>
      </c>
      <c r="H13" s="32">
        <v>36988.273619642947</v>
      </c>
    </row>
    <row r="14" spans="1:13">
      <c r="A14" t="s">
        <v>6</v>
      </c>
      <c r="B14" t="s">
        <v>90</v>
      </c>
      <c r="C14" s="9">
        <v>885122</v>
      </c>
      <c r="D14" s="9">
        <v>396222</v>
      </c>
      <c r="E14" s="9">
        <v>295581.61200000002</v>
      </c>
      <c r="F14" s="32">
        <v>23493.16580403686</v>
      </c>
      <c r="G14" s="32">
        <v>4017.6278138140365</v>
      </c>
      <c r="H14" s="32">
        <v>9029.3563022371964</v>
      </c>
    </row>
    <row r="15" spans="1:13">
      <c r="A15" t="s">
        <v>7</v>
      </c>
      <c r="B15" t="s">
        <v>91</v>
      </c>
      <c r="C15" s="9">
        <v>599657</v>
      </c>
      <c r="D15" s="9">
        <v>285135</v>
      </c>
      <c r="E15" s="9">
        <v>144278.31</v>
      </c>
      <c r="F15" s="32">
        <v>21519.041455921313</v>
      </c>
      <c r="G15" s="32">
        <v>2429.9654002204561</v>
      </c>
      <c r="H15" s="32">
        <v>6233.4200496415415</v>
      </c>
    </row>
    <row r="16" spans="1:13">
      <c r="A16" t="s">
        <v>8</v>
      </c>
      <c r="B16" t="s">
        <v>92</v>
      </c>
      <c r="C16" s="9">
        <v>18537969</v>
      </c>
      <c r="D16" s="9">
        <v>8852754</v>
      </c>
      <c r="E16" s="9">
        <v>5771995.6080000009</v>
      </c>
      <c r="F16" s="32">
        <v>693623.14621690719</v>
      </c>
      <c r="G16" s="32">
        <v>93901.060330378386</v>
      </c>
      <c r="H16" s="32">
        <v>142681.94098210451</v>
      </c>
    </row>
    <row r="17" spans="1:8">
      <c r="A17" t="s">
        <v>9</v>
      </c>
      <c r="B17" t="s">
        <v>93</v>
      </c>
      <c r="C17" s="9">
        <v>9829211</v>
      </c>
      <c r="D17" s="9">
        <v>4063548</v>
      </c>
      <c r="E17" s="9">
        <v>3002961.9720000005</v>
      </c>
      <c r="F17" s="32">
        <v>328171.3451276776</v>
      </c>
      <c r="G17" s="32">
        <v>50446.258465338746</v>
      </c>
      <c r="H17" s="32">
        <v>73628.22408105545</v>
      </c>
    </row>
    <row r="18" spans="1:8">
      <c r="A18" t="s">
        <v>10</v>
      </c>
      <c r="B18" t="s">
        <v>94</v>
      </c>
      <c r="C18" s="9">
        <v>1295178</v>
      </c>
      <c r="D18" s="9">
        <v>515625</v>
      </c>
      <c r="E18" s="9">
        <v>346499.99999999994</v>
      </c>
      <c r="F18" s="32">
        <v>47057.052660747802</v>
      </c>
      <c r="G18" s="32">
        <v>4160.7826120193286</v>
      </c>
      <c r="H18" s="32">
        <v>12921.963520818434</v>
      </c>
    </row>
    <row r="19" spans="1:8">
      <c r="A19" t="s">
        <v>11</v>
      </c>
      <c r="B19" t="s">
        <v>95</v>
      </c>
      <c r="C19" s="9">
        <v>1545801</v>
      </c>
      <c r="D19" s="9">
        <v>647502</v>
      </c>
      <c r="E19" s="9">
        <v>516706.59600000002</v>
      </c>
      <c r="F19" s="32">
        <v>38428.047531455588</v>
      </c>
      <c r="G19" s="32">
        <v>7186.2719894403417</v>
      </c>
      <c r="H19" s="32">
        <v>14983.904371916205</v>
      </c>
    </row>
    <row r="20" spans="1:8">
      <c r="A20" t="s">
        <v>12</v>
      </c>
      <c r="B20" t="s">
        <v>96</v>
      </c>
      <c r="C20" s="9">
        <v>12910409</v>
      </c>
      <c r="D20" s="9">
        <v>5292016</v>
      </c>
      <c r="E20" s="9">
        <v>4027224.176</v>
      </c>
      <c r="F20" s="32">
        <v>443162.10489002906</v>
      </c>
      <c r="G20" s="32">
        <v>66221.093134716546</v>
      </c>
      <c r="H20" s="32">
        <v>94805.701393566851</v>
      </c>
    </row>
    <row r="21" spans="1:8">
      <c r="A21" t="s">
        <v>13</v>
      </c>
      <c r="B21" t="s">
        <v>97</v>
      </c>
      <c r="C21" s="9">
        <v>6423113</v>
      </c>
      <c r="D21" s="9">
        <v>2809559</v>
      </c>
      <c r="E21" s="9">
        <v>2286981.0260000001</v>
      </c>
      <c r="F21" s="32">
        <v>190312.61032211041</v>
      </c>
      <c r="G21" s="32">
        <v>34298.227098166957</v>
      </c>
      <c r="H21" s="32">
        <v>46820.236822724139</v>
      </c>
    </row>
    <row r="22" spans="1:8">
      <c r="A22" t="s">
        <v>14</v>
      </c>
      <c r="B22" t="s">
        <v>98</v>
      </c>
      <c r="C22" s="9">
        <v>3007856</v>
      </c>
      <c r="D22" s="9">
        <v>1344080</v>
      </c>
      <c r="E22" s="9">
        <v>1120962.72</v>
      </c>
      <c r="F22" s="32">
        <v>75632.662557398929</v>
      </c>
      <c r="G22" s="32">
        <v>20868.637301551076</v>
      </c>
      <c r="H22" s="32">
        <v>31795.089996792201</v>
      </c>
    </row>
    <row r="23" spans="1:8">
      <c r="A23" t="s">
        <v>15</v>
      </c>
      <c r="B23" t="s">
        <v>99</v>
      </c>
      <c r="C23" s="9">
        <v>2818747</v>
      </c>
      <c r="D23" s="9">
        <v>1234057</v>
      </c>
      <c r="E23" s="9">
        <v>1018097.0249999999</v>
      </c>
      <c r="F23" s="32">
        <v>74944.07286568229</v>
      </c>
      <c r="G23" s="32">
        <v>19106.852205079369</v>
      </c>
      <c r="H23" s="32">
        <v>29368.188293795207</v>
      </c>
    </row>
    <row r="24" spans="1:8">
      <c r="A24" t="s">
        <v>16</v>
      </c>
      <c r="B24" t="s">
        <v>100</v>
      </c>
      <c r="C24" s="9">
        <v>4314113</v>
      </c>
      <c r="D24" s="9">
        <v>1934973</v>
      </c>
      <c r="E24" s="9">
        <v>1458969.642</v>
      </c>
      <c r="F24" s="32">
        <v>112455.41416063736</v>
      </c>
      <c r="G24" s="32">
        <v>23785.768756031834</v>
      </c>
      <c r="H24" s="32">
        <v>31083.782349103029</v>
      </c>
    </row>
    <row r="25" spans="1:8">
      <c r="A25" t="s">
        <v>17</v>
      </c>
      <c r="B25" t="s">
        <v>101</v>
      </c>
      <c r="C25" s="9">
        <v>4492076</v>
      </c>
      <c r="D25" s="9">
        <v>1963354</v>
      </c>
      <c r="E25" s="9">
        <v>1501965.81</v>
      </c>
      <c r="F25" s="32">
        <v>130784.85982363105</v>
      </c>
      <c r="G25" s="32">
        <v>24012.290125902167</v>
      </c>
      <c r="H25" s="32">
        <v>33363.861095481749</v>
      </c>
    </row>
    <row r="26" spans="1:8">
      <c r="A26" s="1" t="s">
        <v>82</v>
      </c>
      <c r="B26" s="2" t="s">
        <v>19</v>
      </c>
      <c r="C26" s="9">
        <v>1318301</v>
      </c>
      <c r="D26" s="9">
        <v>704578</v>
      </c>
      <c r="E26" s="9">
        <v>571412.75800000003</v>
      </c>
      <c r="F26" s="32">
        <v>42394.722454004412</v>
      </c>
      <c r="G26" s="32">
        <v>5838.4588973854834</v>
      </c>
      <c r="H26" s="32">
        <v>13912.533826743511</v>
      </c>
    </row>
    <row r="27" spans="1:8">
      <c r="A27" s="3" t="s">
        <v>20</v>
      </c>
      <c r="B27" s="4" t="s">
        <v>21</v>
      </c>
      <c r="C27" s="9">
        <v>5699478</v>
      </c>
      <c r="D27" s="9">
        <v>2341194</v>
      </c>
      <c r="E27" s="9">
        <v>1809742.9620000001</v>
      </c>
      <c r="F27" s="32">
        <v>184714.91601057473</v>
      </c>
      <c r="G27" s="32">
        <v>24600.79853967634</v>
      </c>
      <c r="H27" s="32">
        <v>59359.738381824864</v>
      </c>
    </row>
    <row r="28" spans="1:8">
      <c r="A28" s="3" t="s">
        <v>22</v>
      </c>
      <c r="B28" s="4" t="s">
        <v>23</v>
      </c>
      <c r="C28" s="9">
        <v>6593587</v>
      </c>
      <c r="D28" s="9">
        <v>2748321</v>
      </c>
      <c r="E28" s="9">
        <v>2182166.8740000003</v>
      </c>
      <c r="F28" s="32">
        <v>219632.57752146249</v>
      </c>
      <c r="G28" s="32">
        <v>27837.655437141177</v>
      </c>
      <c r="H28" s="32">
        <v>68132.194354517298</v>
      </c>
    </row>
    <row r="29" spans="1:8">
      <c r="A29" s="3" t="s">
        <v>24</v>
      </c>
      <c r="B29" s="4" t="s">
        <v>25</v>
      </c>
      <c r="C29" s="9">
        <v>9969727</v>
      </c>
      <c r="D29" s="9">
        <v>4541680</v>
      </c>
      <c r="E29" s="9">
        <v>3665135.76</v>
      </c>
      <c r="F29" s="32">
        <v>320448.22029101098</v>
      </c>
      <c r="G29" s="32">
        <v>54072.517181453659</v>
      </c>
      <c r="H29" s="32">
        <v>75053.595287234944</v>
      </c>
    </row>
    <row r="30" spans="1:8">
      <c r="A30" s="3" t="s">
        <v>26</v>
      </c>
      <c r="B30" s="4" t="s">
        <v>27</v>
      </c>
      <c r="C30" s="9">
        <v>5266214</v>
      </c>
      <c r="D30" s="9">
        <v>2332916</v>
      </c>
      <c r="E30" s="9">
        <v>1826673.2280000004</v>
      </c>
      <c r="F30" s="32">
        <v>169298.90504813913</v>
      </c>
      <c r="G30" s="32">
        <v>33912.511399166789</v>
      </c>
      <c r="H30" s="32">
        <v>55249.455171658832</v>
      </c>
    </row>
    <row r="31" spans="1:8">
      <c r="A31" s="3" t="s">
        <v>28</v>
      </c>
      <c r="B31" s="4" t="s">
        <v>29</v>
      </c>
      <c r="C31" s="9">
        <v>2951996</v>
      </c>
      <c r="D31" s="9">
        <v>1282090</v>
      </c>
      <c r="E31" s="9">
        <v>969260.04000000015</v>
      </c>
      <c r="F31" s="32">
        <v>94674.916036434748</v>
      </c>
      <c r="G31" s="32">
        <v>16104.752386244749</v>
      </c>
      <c r="H31" s="32">
        <v>22769.130059548766</v>
      </c>
    </row>
    <row r="32" spans="1:8">
      <c r="A32" s="3" t="s">
        <v>30</v>
      </c>
      <c r="B32" s="4" t="s">
        <v>31</v>
      </c>
      <c r="C32" s="9">
        <v>5987580</v>
      </c>
      <c r="D32" s="9">
        <v>2682066</v>
      </c>
      <c r="E32" s="9">
        <v>2159063.13</v>
      </c>
      <c r="F32" s="32">
        <v>168405.87378632094</v>
      </c>
      <c r="G32" s="32">
        <v>39869.354380038378</v>
      </c>
      <c r="H32" s="32">
        <v>62314.707282822143</v>
      </c>
    </row>
    <row r="33" spans="1:8">
      <c r="A33" s="3" t="s">
        <v>32</v>
      </c>
      <c r="B33" s="4" t="s">
        <v>33</v>
      </c>
      <c r="C33" s="9">
        <v>974989</v>
      </c>
      <c r="D33" s="9">
        <v>441279</v>
      </c>
      <c r="E33" s="9">
        <v>342432.50400000002</v>
      </c>
      <c r="F33" s="32">
        <v>27709.093018409789</v>
      </c>
      <c r="G33" s="32">
        <v>4480.8949681122876</v>
      </c>
      <c r="H33" s="32">
        <v>9691.3673360575121</v>
      </c>
    </row>
    <row r="34" spans="1:8">
      <c r="A34" s="3" t="s">
        <v>34</v>
      </c>
      <c r="B34" s="4" t="s">
        <v>35</v>
      </c>
      <c r="C34" s="9">
        <v>1796619</v>
      </c>
      <c r="D34" s="9">
        <v>791863</v>
      </c>
      <c r="E34" s="9">
        <v>636657.85200000007</v>
      </c>
      <c r="F34" s="32">
        <v>51558.669043616523</v>
      </c>
      <c r="G34" s="32">
        <v>12011.790158275886</v>
      </c>
      <c r="H34" s="32">
        <v>18813.676874872624</v>
      </c>
    </row>
    <row r="35" spans="1:8">
      <c r="A35" s="3" t="s">
        <v>36</v>
      </c>
      <c r="B35" s="4" t="s">
        <v>37</v>
      </c>
      <c r="C35" s="9">
        <v>2643085</v>
      </c>
      <c r="D35" s="9">
        <v>1137997</v>
      </c>
      <c r="E35" s="9">
        <v>756768.005</v>
      </c>
      <c r="F35" s="32">
        <v>100598.67538466418</v>
      </c>
      <c r="G35" s="32">
        <v>10135.952510732559</v>
      </c>
      <c r="H35" s="32">
        <v>25623.890210852904</v>
      </c>
    </row>
    <row r="36" spans="1:8">
      <c r="A36" s="3" t="s">
        <v>38</v>
      </c>
      <c r="B36" s="4" t="s">
        <v>39</v>
      </c>
      <c r="C36" s="9">
        <v>1324575</v>
      </c>
      <c r="D36" s="9">
        <v>600090</v>
      </c>
      <c r="E36" s="9">
        <v>475871.37</v>
      </c>
      <c r="F36" s="32">
        <v>36860.82873851763</v>
      </c>
      <c r="G36" s="32">
        <v>6142.3779780272071</v>
      </c>
      <c r="H36" s="32">
        <v>13880.024745257106</v>
      </c>
    </row>
    <row r="37" spans="1:8">
      <c r="A37" s="3" t="s">
        <v>40</v>
      </c>
      <c r="B37" s="4" t="s">
        <v>41</v>
      </c>
      <c r="C37" s="9">
        <v>8707739</v>
      </c>
      <c r="D37" s="9">
        <v>3526453</v>
      </c>
      <c r="E37" s="9">
        <v>2807056.588</v>
      </c>
      <c r="F37" s="32">
        <v>293122.06453218096</v>
      </c>
      <c r="G37" s="32">
        <v>37595.299756293352</v>
      </c>
      <c r="H37" s="32">
        <v>91903.916198714855</v>
      </c>
    </row>
    <row r="38" spans="1:8">
      <c r="A38" s="3" t="s">
        <v>42</v>
      </c>
      <c r="B38" s="4" t="s">
        <v>43</v>
      </c>
      <c r="C38" s="9">
        <v>2009671</v>
      </c>
      <c r="D38" s="9">
        <v>878043</v>
      </c>
      <c r="E38" s="9">
        <v>623410.53</v>
      </c>
      <c r="F38" s="32">
        <v>62357.484343229611</v>
      </c>
      <c r="G38" s="32">
        <v>10780.625805790758</v>
      </c>
      <c r="H38" s="32">
        <v>16415.340156079772</v>
      </c>
    </row>
    <row r="39" spans="1:8">
      <c r="A39" s="3" t="s">
        <v>44</v>
      </c>
      <c r="B39" s="4" t="s">
        <v>45</v>
      </c>
      <c r="C39" s="9">
        <v>19541453</v>
      </c>
      <c r="D39" s="9">
        <v>8017881</v>
      </c>
      <c r="E39" s="9">
        <v>5195586.8879999993</v>
      </c>
      <c r="F39" s="32">
        <v>694512.75726993452</v>
      </c>
      <c r="G39" s="32">
        <v>81356.271259696106</v>
      </c>
      <c r="H39" s="32">
        <v>204019.14770067277</v>
      </c>
    </row>
    <row r="40" spans="1:8">
      <c r="A40" s="3" t="s">
        <v>46</v>
      </c>
      <c r="B40" s="4" t="s">
        <v>47</v>
      </c>
      <c r="C40" s="9">
        <v>9380884</v>
      </c>
      <c r="D40" s="9">
        <v>4258625</v>
      </c>
      <c r="E40" s="9">
        <v>3117313.5000000005</v>
      </c>
      <c r="F40" s="32">
        <v>280530.72495316644</v>
      </c>
      <c r="G40" s="32">
        <v>49771.611128620476</v>
      </c>
      <c r="H40" s="32">
        <v>69740.540096316836</v>
      </c>
    </row>
    <row r="41" spans="1:8">
      <c r="A41" s="3" t="s">
        <v>48</v>
      </c>
      <c r="B41" s="4" t="s">
        <v>49</v>
      </c>
      <c r="C41" s="9">
        <v>646844</v>
      </c>
      <c r="D41" s="9">
        <v>316435</v>
      </c>
      <c r="E41" s="9">
        <v>230997.55</v>
      </c>
      <c r="F41" s="32">
        <v>17943.201815557815</v>
      </c>
      <c r="G41" s="32">
        <v>4372.0986417315835</v>
      </c>
      <c r="H41" s="32">
        <v>6824.4423490638792</v>
      </c>
    </row>
    <row r="42" spans="1:8">
      <c r="A42" s="3" t="s">
        <v>50</v>
      </c>
      <c r="B42" s="4" t="s">
        <v>51</v>
      </c>
      <c r="C42" s="9">
        <v>11542645</v>
      </c>
      <c r="D42" s="9">
        <v>5094126</v>
      </c>
      <c r="E42" s="9">
        <v>4131336.1860000002</v>
      </c>
      <c r="F42" s="32">
        <v>338820.12027953385</v>
      </c>
      <c r="G42" s="32">
        <v>62693.548145172856</v>
      </c>
      <c r="H42" s="32">
        <v>85462.968059424282</v>
      </c>
    </row>
    <row r="43" spans="1:8">
      <c r="A43" s="3" t="s">
        <v>52</v>
      </c>
      <c r="B43" s="4" t="s">
        <v>53</v>
      </c>
      <c r="C43" s="9">
        <v>3687050</v>
      </c>
      <c r="D43" s="9">
        <v>1650387</v>
      </c>
      <c r="E43" s="9">
        <v>1295553.7950000002</v>
      </c>
      <c r="F43" s="32">
        <v>106550.46908340536</v>
      </c>
      <c r="G43" s="32">
        <v>20342.456424808828</v>
      </c>
      <c r="H43" s="32">
        <v>30235.572265439598</v>
      </c>
    </row>
    <row r="44" spans="1:8">
      <c r="A44" s="3" t="s">
        <v>54</v>
      </c>
      <c r="B44" s="4" t="s">
        <v>55</v>
      </c>
      <c r="C44" s="9">
        <v>3825657</v>
      </c>
      <c r="D44" s="9">
        <v>1639498</v>
      </c>
      <c r="E44" s="9">
        <v>1201752.034</v>
      </c>
      <c r="F44" s="32">
        <v>109970.49330149719</v>
      </c>
      <c r="G44" s="32">
        <v>13533.993687606719</v>
      </c>
      <c r="H44" s="32">
        <v>37275.395591130684</v>
      </c>
    </row>
    <row r="45" spans="1:8">
      <c r="A45" s="3" t="s">
        <v>56</v>
      </c>
      <c r="B45" s="4" t="s">
        <v>57</v>
      </c>
      <c r="C45" s="9">
        <v>12604767</v>
      </c>
      <c r="D45" s="9">
        <v>5518558</v>
      </c>
      <c r="E45" s="9">
        <v>4613514.4879999999</v>
      </c>
      <c r="F45" s="32">
        <v>393053.21495329501</v>
      </c>
      <c r="G45" s="32">
        <v>55423.852773985513</v>
      </c>
      <c r="H45" s="32">
        <v>131349.37896838578</v>
      </c>
    </row>
    <row r="46" spans="1:8">
      <c r="A46" s="3" t="s">
        <v>58</v>
      </c>
      <c r="B46" s="4" t="s">
        <v>59</v>
      </c>
      <c r="C46" s="9">
        <v>1053209</v>
      </c>
      <c r="D46" s="9">
        <v>452191</v>
      </c>
      <c r="E46" s="9">
        <v>374866.33900000004</v>
      </c>
      <c r="F46" s="32">
        <v>35616.681475751269</v>
      </c>
      <c r="G46" s="32">
        <v>4632.561128983215</v>
      </c>
      <c r="H46" s="32">
        <v>11233.320094031458</v>
      </c>
    </row>
    <row r="47" spans="1:8">
      <c r="A47" s="3" t="s">
        <v>60</v>
      </c>
      <c r="B47" s="4" t="s">
        <v>61</v>
      </c>
      <c r="C47" s="9">
        <v>4561242</v>
      </c>
      <c r="D47" s="9">
        <v>2084231</v>
      </c>
      <c r="E47" s="9">
        <v>1450624.7760000001</v>
      </c>
      <c r="F47" s="32">
        <v>125298.76713006632</v>
      </c>
      <c r="G47" s="32">
        <v>24980.562857626282</v>
      </c>
      <c r="H47" s="32">
        <v>34047.029662557972</v>
      </c>
    </row>
    <row r="48" spans="1:8">
      <c r="A48" s="3" t="s">
        <v>62</v>
      </c>
      <c r="B48" s="4" t="s">
        <v>63</v>
      </c>
      <c r="C48" s="9">
        <v>812383</v>
      </c>
      <c r="D48" s="9">
        <v>365563</v>
      </c>
      <c r="E48" s="9">
        <v>278193.44300000003</v>
      </c>
      <c r="F48" s="32">
        <v>24156.428555412753</v>
      </c>
      <c r="G48" s="32">
        <v>5302.2483369461825</v>
      </c>
      <c r="H48" s="32">
        <v>8417.3445321173003</v>
      </c>
    </row>
    <row r="49" spans="1:10">
      <c r="A49" s="3" t="s">
        <v>64</v>
      </c>
      <c r="B49" s="4" t="s">
        <v>65</v>
      </c>
      <c r="C49" s="9">
        <v>6296254</v>
      </c>
      <c r="D49" s="9">
        <v>2780857</v>
      </c>
      <c r="E49" s="9">
        <v>2138479.0330000003</v>
      </c>
      <c r="F49" s="32">
        <v>195509.4921230156</v>
      </c>
      <c r="G49" s="32">
        <v>33828.399224608875</v>
      </c>
      <c r="H49" s="32">
        <v>47934.026487189411</v>
      </c>
    </row>
    <row r="50" spans="1:10">
      <c r="A50" s="3" t="s">
        <v>66</v>
      </c>
      <c r="B50" s="4" t="s">
        <v>67</v>
      </c>
      <c r="C50" s="9">
        <v>24782302</v>
      </c>
      <c r="D50" s="9">
        <v>9724220</v>
      </c>
      <c r="E50" s="9">
        <v>6991714.1800000006</v>
      </c>
      <c r="F50" s="32">
        <v>738779.28542260837</v>
      </c>
      <c r="G50" s="32">
        <v>130312.59653655584</v>
      </c>
      <c r="H50" s="32">
        <v>198742.29686185508</v>
      </c>
    </row>
    <row r="51" spans="1:10">
      <c r="A51" s="3" t="s">
        <v>68</v>
      </c>
      <c r="B51" s="4" t="s">
        <v>69</v>
      </c>
      <c r="C51" s="9">
        <v>2784572</v>
      </c>
      <c r="D51" s="9">
        <v>952999</v>
      </c>
      <c r="E51" s="9">
        <v>773835.18800000008</v>
      </c>
      <c r="F51" s="32">
        <v>71882.594838242454</v>
      </c>
      <c r="G51" s="32">
        <v>12438.048168701924</v>
      </c>
      <c r="H51" s="32">
        <v>26355.510000440721</v>
      </c>
    </row>
    <row r="52" spans="1:10">
      <c r="A52" s="3" t="s">
        <v>70</v>
      </c>
      <c r="B52" s="4" t="s">
        <v>71</v>
      </c>
      <c r="C52" s="9">
        <v>621760</v>
      </c>
      <c r="D52" s="9">
        <v>314246</v>
      </c>
      <c r="E52" s="9">
        <v>259567.19600000003</v>
      </c>
      <c r="F52" s="32">
        <v>19328.514232445548</v>
      </c>
      <c r="G52" s="32">
        <v>2800.1329278503517</v>
      </c>
      <c r="H52" s="32">
        <v>6558.8257391938196</v>
      </c>
    </row>
    <row r="53" spans="1:10">
      <c r="A53" s="3" t="s">
        <v>72</v>
      </c>
      <c r="B53" s="4" t="s">
        <v>73</v>
      </c>
      <c r="C53" s="9">
        <v>7882590</v>
      </c>
      <c r="D53" s="9">
        <v>3330465</v>
      </c>
      <c r="E53" s="9">
        <v>2571118.98</v>
      </c>
      <c r="F53" s="32">
        <v>276425.61128260446</v>
      </c>
      <c r="G53" s="32">
        <v>40812.796671161246</v>
      </c>
      <c r="H53" s="32">
        <v>60148.139291100168</v>
      </c>
    </row>
    <row r="54" spans="1:10">
      <c r="A54" s="3" t="s">
        <v>74</v>
      </c>
      <c r="B54" s="4" t="s">
        <v>75</v>
      </c>
      <c r="C54" s="9">
        <v>6664195</v>
      </c>
      <c r="D54" s="9">
        <v>2814238</v>
      </c>
      <c r="E54" s="9">
        <v>2026251.3599999999</v>
      </c>
      <c r="F54" s="32">
        <v>190199.17811499958</v>
      </c>
      <c r="G54" s="32">
        <v>23318.985025642105</v>
      </c>
      <c r="H54" s="32">
        <v>64482.114498460753</v>
      </c>
    </row>
    <row r="55" spans="1:10">
      <c r="A55" s="3" t="s">
        <v>76</v>
      </c>
      <c r="B55" s="4" t="s">
        <v>77</v>
      </c>
      <c r="C55" s="9">
        <v>1819777</v>
      </c>
      <c r="D55" s="9">
        <v>893771</v>
      </c>
      <c r="E55" s="9">
        <v>681053.50199999998</v>
      </c>
      <c r="F55" s="32">
        <v>53461.117662226141</v>
      </c>
      <c r="G55" s="32">
        <v>9929.0562201541816</v>
      </c>
      <c r="H55" s="32">
        <v>13387.463333426274</v>
      </c>
    </row>
    <row r="56" spans="1:10">
      <c r="A56" s="3" t="s">
        <v>78</v>
      </c>
      <c r="B56" s="4" t="s">
        <v>79</v>
      </c>
      <c r="C56" s="9">
        <v>5654774</v>
      </c>
      <c r="D56" s="9">
        <v>2587350</v>
      </c>
      <c r="E56" s="9">
        <v>2108690.25</v>
      </c>
      <c r="F56" s="32">
        <v>156091.07141758254</v>
      </c>
      <c r="G56" s="32">
        <v>30968.760849363862</v>
      </c>
      <c r="H56" s="32">
        <v>41575.514061917645</v>
      </c>
    </row>
    <row r="57" spans="1:10">
      <c r="A57" s="3" t="s">
        <v>80</v>
      </c>
      <c r="B57" s="4" t="s">
        <v>81</v>
      </c>
      <c r="C57" s="9">
        <v>544270</v>
      </c>
      <c r="D57" s="9">
        <v>249388</v>
      </c>
      <c r="E57" s="9">
        <v>188537.32800000001</v>
      </c>
      <c r="F57" s="32">
        <v>17533.828817491816</v>
      </c>
      <c r="G57" s="32">
        <v>2280.8999544403309</v>
      </c>
      <c r="H57" s="32">
        <v>5243.5776663051665</v>
      </c>
    </row>
    <row r="58" spans="1:10">
      <c r="A58" s="3" t="s">
        <v>141</v>
      </c>
      <c r="B58" s="4" t="s">
        <v>142</v>
      </c>
      <c r="C58" s="9">
        <f t="shared" ref="C58:H58" si="0">SUM(C7:C57)</f>
        <v>307006550</v>
      </c>
      <c r="D58" s="9">
        <f t="shared" si="0"/>
        <v>129969653</v>
      </c>
      <c r="E58" s="9">
        <f t="shared" si="0"/>
        <v>97167722.147999987</v>
      </c>
      <c r="F58" s="9">
        <f t="shared" si="0"/>
        <v>9638515.5517184753</v>
      </c>
      <c r="G58" s="9">
        <f t="shared" si="0"/>
        <v>1488744.4631114095</v>
      </c>
      <c r="H58" s="9">
        <f t="shared" si="0"/>
        <v>2711999.9999999995</v>
      </c>
      <c r="J58" s="9">
        <f>F58+G58+H58</f>
        <v>13839260.014829885</v>
      </c>
    </row>
    <row r="61" spans="1:10">
      <c r="A61" s="26" t="s">
        <v>148</v>
      </c>
    </row>
    <row r="62" spans="1:10">
      <c r="A62" s="26" t="s">
        <v>149</v>
      </c>
    </row>
    <row r="63" spans="1:10">
      <c r="A63" s="25" t="s">
        <v>150</v>
      </c>
    </row>
    <row r="64" spans="1:10">
      <c r="A64" s="25" t="s">
        <v>151</v>
      </c>
    </row>
    <row r="65" spans="1:1">
      <c r="A65" s="7" t="s">
        <v>163</v>
      </c>
    </row>
    <row r="66" spans="1:1">
      <c r="A66" t="s">
        <v>144</v>
      </c>
    </row>
    <row r="67" spans="1:1">
      <c r="A67" t="s">
        <v>143</v>
      </c>
    </row>
  </sheetData>
  <sheetProtection password="CA5E" sheet="1" objects="1" scenarios="1" selectLockedCells="1" selectUnlockedCells="1"/>
  <mergeCells count="3">
    <mergeCell ref="D5:E5"/>
    <mergeCell ref="F5:H5"/>
    <mergeCell ref="D4:E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P31"/>
  <sheetViews>
    <sheetView topLeftCell="B1" zoomScaleNormal="100" workbookViewId="0">
      <selection activeCell="E10" sqref="E10"/>
    </sheetView>
  </sheetViews>
  <sheetFormatPr defaultRowHeight="14.4"/>
  <cols>
    <col min="1" max="1" width="48.6640625" bestFit="1" customWidth="1"/>
    <col min="2" max="2" width="1.6640625" customWidth="1"/>
    <col min="3" max="3" width="13.33203125" bestFit="1" customWidth="1"/>
    <col min="4" max="4" width="17.6640625" bestFit="1" customWidth="1"/>
    <col min="5" max="5" width="10.44140625" customWidth="1"/>
    <col min="11" max="11" width="14" bestFit="1" customWidth="1"/>
  </cols>
  <sheetData>
    <row r="1" spans="1:12" ht="18">
      <c r="A1" s="20" t="s">
        <v>131</v>
      </c>
    </row>
    <row r="3" spans="1:12" ht="15" thickBot="1"/>
    <row r="4" spans="1:12" ht="15" thickBot="1">
      <c r="C4" s="82" t="s">
        <v>116</v>
      </c>
      <c r="D4" s="83"/>
      <c r="E4" s="84"/>
    </row>
    <row r="5" spans="1:12">
      <c r="C5" s="22"/>
      <c r="D5" s="13" t="s">
        <v>189</v>
      </c>
      <c r="E5" s="12"/>
    </row>
    <row r="6" spans="1:12" ht="15" thickBot="1">
      <c r="C6" s="10" t="s">
        <v>135</v>
      </c>
      <c r="D6" s="11" t="s">
        <v>115</v>
      </c>
      <c r="E6" s="11" t="s">
        <v>117</v>
      </c>
      <c r="K6" s="28" t="s">
        <v>160</v>
      </c>
    </row>
    <row r="7" spans="1:12">
      <c r="K7" s="28" t="s">
        <v>159</v>
      </c>
    </row>
    <row r="8" spans="1:12">
      <c r="C8" s="29"/>
      <c r="D8" s="29"/>
      <c r="E8" s="29"/>
      <c r="K8" s="27" t="s">
        <v>157</v>
      </c>
    </row>
    <row r="9" spans="1:12">
      <c r="A9" t="s">
        <v>210</v>
      </c>
      <c r="C9" s="29">
        <f>6.71+0.35+0.28</f>
        <v>7.34</v>
      </c>
      <c r="D9" s="29">
        <f>K9*'User Inputs &amp; Jobs Calculator'!B18+K10*'User Inputs &amp; Jobs Calculator'!B19</f>
        <v>2.3040000000000003</v>
      </c>
      <c r="E9" s="29">
        <v>1.17</v>
      </c>
      <c r="H9" t="s">
        <v>155</v>
      </c>
      <c r="K9">
        <v>1.66</v>
      </c>
      <c r="L9" s="27"/>
    </row>
    <row r="10" spans="1:12">
      <c r="H10" t="s">
        <v>156</v>
      </c>
      <c r="K10">
        <v>4.46</v>
      </c>
    </row>
    <row r="11" spans="1:12">
      <c r="C11" s="30"/>
      <c r="D11" s="29"/>
      <c r="E11" s="29"/>
    </row>
    <row r="12" spans="1:12">
      <c r="A12" t="s">
        <v>170</v>
      </c>
      <c r="C12" s="29"/>
      <c r="D12" s="29"/>
      <c r="E12" s="29">
        <v>0.22</v>
      </c>
    </row>
    <row r="13" spans="1:12">
      <c r="C13" s="30"/>
      <c r="D13" s="29"/>
      <c r="E13" s="29"/>
    </row>
    <row r="14" spans="1:12">
      <c r="A14" t="s">
        <v>158</v>
      </c>
      <c r="C14" s="29">
        <v>0.56000000000000005</v>
      </c>
      <c r="D14" s="29">
        <v>0.64</v>
      </c>
      <c r="E14" s="29">
        <v>0.04</v>
      </c>
    </row>
    <row r="15" spans="1:12">
      <c r="C15" s="29"/>
      <c r="D15" s="29"/>
      <c r="E15" s="29"/>
    </row>
    <row r="16" spans="1:12">
      <c r="A16" t="s">
        <v>161</v>
      </c>
      <c r="C16" s="33"/>
      <c r="D16" s="29">
        <v>0</v>
      </c>
      <c r="E16" s="29"/>
    </row>
    <row r="17" spans="1:16">
      <c r="A17" t="s">
        <v>105</v>
      </c>
      <c r="C17" s="29">
        <v>0</v>
      </c>
      <c r="D17" s="29"/>
      <c r="E17" s="29"/>
    </row>
    <row r="18" spans="1:16">
      <c r="A18" t="s">
        <v>106</v>
      </c>
      <c r="C18" s="29">
        <v>0</v>
      </c>
      <c r="D18" s="29"/>
      <c r="E18" s="29"/>
    </row>
    <row r="19" spans="1:16">
      <c r="A19" t="s">
        <v>164</v>
      </c>
      <c r="C19" s="29">
        <v>0</v>
      </c>
      <c r="D19" s="29"/>
      <c r="E19" s="29"/>
    </row>
    <row r="20" spans="1:16">
      <c r="C20" s="29"/>
      <c r="D20" s="29"/>
      <c r="E20" s="29"/>
    </row>
    <row r="21" spans="1:16">
      <c r="A21" t="s">
        <v>118</v>
      </c>
      <c r="C21" s="30"/>
      <c r="D21" s="30"/>
      <c r="E21" s="29"/>
    </row>
    <row r="22" spans="1:16">
      <c r="A22" t="s">
        <v>105</v>
      </c>
      <c r="C22" s="29">
        <v>0.37</v>
      </c>
      <c r="D22" s="29">
        <v>0.37</v>
      </c>
      <c r="E22" s="29"/>
    </row>
    <row r="23" spans="1:16">
      <c r="A23" t="s">
        <v>106</v>
      </c>
      <c r="C23" s="29">
        <v>0</v>
      </c>
      <c r="D23" s="29">
        <v>0.57999999999999996</v>
      </c>
      <c r="E23" s="29"/>
    </row>
    <row r="24" spans="1:16">
      <c r="A24" t="s">
        <v>107</v>
      </c>
      <c r="C24" s="29">
        <f>2*(1-'User Inputs &amp; Jobs Calculator'!B22)</f>
        <v>2</v>
      </c>
      <c r="D24" s="29">
        <f>2.27*(1-'User Inputs &amp; Jobs Calculator'!B23)</f>
        <v>0.99879999999999991</v>
      </c>
      <c r="E24" s="29"/>
    </row>
    <row r="25" spans="1:16">
      <c r="A25" s="25"/>
      <c r="C25" s="29"/>
      <c r="D25" s="29"/>
      <c r="E25" s="29"/>
    </row>
    <row r="26" spans="1:16">
      <c r="A26" s="25" t="s">
        <v>165</v>
      </c>
      <c r="C26" s="30"/>
      <c r="D26" s="30"/>
      <c r="E26" s="30" t="s">
        <v>137</v>
      </c>
    </row>
    <row r="27" spans="1:16">
      <c r="A27" t="s">
        <v>119</v>
      </c>
      <c r="C27" s="29">
        <v>0</v>
      </c>
      <c r="D27" s="29">
        <v>0</v>
      </c>
      <c r="E27" s="29">
        <v>0.1</v>
      </c>
    </row>
    <row r="28" spans="1:16">
      <c r="A28" t="s">
        <v>120</v>
      </c>
      <c r="C28" s="29">
        <v>0</v>
      </c>
      <c r="D28" s="29">
        <v>0</v>
      </c>
      <c r="E28" s="29">
        <v>0.6</v>
      </c>
    </row>
    <row r="29" spans="1:16">
      <c r="A29" t="s">
        <v>121</v>
      </c>
      <c r="C29" s="29">
        <f>E29/2</f>
        <v>0.02</v>
      </c>
      <c r="D29" s="29">
        <f>E29/2</f>
        <v>0.02</v>
      </c>
      <c r="E29" s="29">
        <v>0.04</v>
      </c>
      <c r="F29" t="s">
        <v>171</v>
      </c>
    </row>
    <row r="30" spans="1:16">
      <c r="A30" t="s">
        <v>122</v>
      </c>
      <c r="C30" s="29">
        <v>0</v>
      </c>
      <c r="D30" s="29">
        <v>0</v>
      </c>
      <c r="E30" s="29">
        <v>0</v>
      </c>
    </row>
    <row r="31" spans="1:16">
      <c r="A31" t="s">
        <v>123</v>
      </c>
      <c r="C31" s="29">
        <v>0</v>
      </c>
      <c r="D31" s="29">
        <v>0</v>
      </c>
      <c r="E31" s="29">
        <f>0.73*(1-P31)</f>
        <v>0.60589999999999999</v>
      </c>
      <c r="F31" t="s">
        <v>214</v>
      </c>
      <c r="P31" s="56">
        <v>0.17</v>
      </c>
    </row>
  </sheetData>
  <sheetProtection password="CA5E" sheet="1" objects="1" scenarios="1" selectLockedCells="1" selectUnlockedCells="1"/>
  <mergeCells count="1">
    <mergeCell ref="C4:E4"/>
  </mergeCells>
  <pageMargins left="0.25" right="0.25" top="0.75" bottom="0.75" header="0.3" footer="0.3"/>
  <pageSetup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User Inputs &amp; Jobs Calculator</vt:lpstr>
      <vt:lpstr>Model Parameters</vt:lpstr>
      <vt:lpstr>Data for States</vt:lpstr>
      <vt:lpstr>Job Impacts Data</vt:lpstr>
    </vt:vector>
  </TitlesOfParts>
  <Company>Sound Resource Management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Jeffrey Morris</dc:creator>
  <cp:lastModifiedBy>Valerie</cp:lastModifiedBy>
  <cp:lastPrinted>2011-02-13T20:12:08Z</cp:lastPrinted>
  <dcterms:created xsi:type="dcterms:W3CDTF">2010-09-15T00:55:50Z</dcterms:created>
  <dcterms:modified xsi:type="dcterms:W3CDTF">2011-12-14T23:11:45Z</dcterms:modified>
</cp:coreProperties>
</file>